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24226"/>
  <mc:AlternateContent xmlns:mc="http://schemas.openxmlformats.org/markup-compatibility/2006">
    <mc:Choice Requires="x15">
      <x15ac:absPath xmlns:x15ac="http://schemas.microsoft.com/office/spreadsheetml/2010/11/ac" url="D:\work\ste\valalim\"/>
    </mc:Choice>
  </mc:AlternateContent>
  <xr:revisionPtr revIDLastSave="0" documentId="8_{695BEAF1-C241-48A5-B475-64792F3A9D42}" xr6:coauthVersionLast="36" xr6:coauthVersionMax="36" xr10:uidLastSave="{00000000-0000-0000-0000-000000000000}"/>
  <workbookProtection workbookPassword="EB88" lockStructure="1"/>
  <bookViews>
    <workbookView xWindow="0" yWindow="0" windowWidth="25200" windowHeight="11175" tabRatio="601" xr2:uid="{00000000-000D-0000-FFFF-FFFF00000000}"/>
  </bookViews>
  <sheets>
    <sheet name="Instructions" sheetId="3" r:id="rId1"/>
    <sheet name="TABFRANC" sheetId="2" r:id="rId2"/>
    <sheet name="COMPARE" sheetId="1" r:id="rId3"/>
  </sheets>
  <definedNames>
    <definedName name="table">TABFRANC!$16:$133</definedName>
    <definedName name="Z_E9FF8B49_108B_4234_BFD2_33615CC78B8B_.wvu.Cols" localSheetId="1" hidden="1">TABFRANC!$B:$B,TABFRANC!$L:$Y</definedName>
    <definedName name="Z_E9FF8B49_108B_4234_BFD2_33615CC78B8B_.wvu.Rows" localSheetId="1" hidden="1">TABFRANC!$1:$3</definedName>
  </definedNames>
  <calcPr calcId="191029"/>
  <customWorkbookViews>
    <customWorkbookView name="userbase - Affichage personnalisé" guid="{E9FF8B49-108B-4234-BFD2-33615CC78B8B}" mergeInterval="0" personalView="1" maximized="1" windowWidth="1020" windowHeight="592" tabRatio="601" activeSheetId="1" showStatusbar="0"/>
  </customWorkbookViews>
</workbook>
</file>

<file path=xl/calcChain.xml><?xml version="1.0" encoding="utf-8"?>
<calcChain xmlns="http://schemas.openxmlformats.org/spreadsheetml/2006/main">
  <c r="Q3" i="1" l="1"/>
  <c r="Q2" i="1"/>
  <c r="AM4" i="2"/>
  <c r="F1" i="2" s="1"/>
  <c r="BM9" i="1"/>
  <c r="J24" i="1"/>
  <c r="L24" i="1"/>
  <c r="M24" i="1"/>
  <c r="E25" i="1"/>
  <c r="M25" i="1" s="1"/>
  <c r="F25" i="1"/>
  <c r="G25" i="1"/>
  <c r="H25" i="1"/>
  <c r="I25" i="1"/>
  <c r="J27" i="1"/>
  <c r="L27" i="1"/>
  <c r="M27" i="1"/>
  <c r="E28" i="1"/>
  <c r="M28" i="1" s="1"/>
  <c r="F28" i="1"/>
  <c r="K28" i="1" s="1"/>
  <c r="G28" i="1"/>
  <c r="H28" i="1"/>
  <c r="I28" i="1"/>
  <c r="F16" i="2"/>
  <c r="G16" i="2"/>
  <c r="H16" i="2"/>
  <c r="I16" i="2"/>
  <c r="M16" i="2"/>
  <c r="N16" i="2"/>
  <c r="Y16" i="2"/>
  <c r="A17" i="2"/>
  <c r="F17" i="2"/>
  <c r="G17" i="2"/>
  <c r="H17" i="2"/>
  <c r="I17" i="2"/>
  <c r="M17" i="2"/>
  <c r="N17" i="2"/>
  <c r="Y17" i="2"/>
  <c r="F18" i="2"/>
  <c r="G18" i="2"/>
  <c r="H18" i="2"/>
  <c r="I18" i="2"/>
  <c r="M18" i="2"/>
  <c r="N18" i="2"/>
  <c r="Y18" i="2"/>
  <c r="F19" i="2"/>
  <c r="G19" i="2"/>
  <c r="H19" i="2"/>
  <c r="I19" i="2"/>
  <c r="M19" i="2"/>
  <c r="N19" i="2"/>
  <c r="Y19" i="2"/>
  <c r="F20" i="2"/>
  <c r="G20" i="2"/>
  <c r="J20" i="2" s="1"/>
  <c r="K20" i="2" s="1"/>
  <c r="H20" i="2"/>
  <c r="I20" i="2"/>
  <c r="M20" i="2"/>
  <c r="N20" i="2"/>
  <c r="Y20" i="2"/>
  <c r="Y21" i="2"/>
  <c r="F22" i="2"/>
  <c r="G22" i="2"/>
  <c r="H22" i="2"/>
  <c r="I22" i="2"/>
  <c r="M22" i="2"/>
  <c r="N22" i="2"/>
  <c r="Y22" i="2"/>
  <c r="A23" i="2"/>
  <c r="F23" i="2"/>
  <c r="G23" i="2"/>
  <c r="H23" i="2"/>
  <c r="I23" i="2"/>
  <c r="M23" i="2"/>
  <c r="N23" i="2"/>
  <c r="Y23" i="2"/>
  <c r="A24" i="2"/>
  <c r="A25" i="2" s="1"/>
  <c r="A26" i="2" s="1"/>
  <c r="A27" i="2" s="1"/>
  <c r="F24" i="2"/>
  <c r="G24" i="2"/>
  <c r="H24" i="2"/>
  <c r="I24" i="2"/>
  <c r="M24" i="2"/>
  <c r="N24" i="2"/>
  <c r="Y24" i="2"/>
  <c r="F25" i="2"/>
  <c r="G25" i="2"/>
  <c r="H25" i="2"/>
  <c r="I25" i="2"/>
  <c r="M25" i="2"/>
  <c r="N25" i="2"/>
  <c r="Y25" i="2"/>
  <c r="F26" i="2"/>
  <c r="G26" i="2"/>
  <c r="H26" i="2"/>
  <c r="I26" i="2"/>
  <c r="M26" i="2"/>
  <c r="N26" i="2"/>
  <c r="Y26" i="2"/>
  <c r="F27" i="2"/>
  <c r="G27" i="2"/>
  <c r="H27" i="2"/>
  <c r="I27" i="2"/>
  <c r="M27" i="2"/>
  <c r="N27" i="2"/>
  <c r="Y27" i="2"/>
  <c r="F28" i="2"/>
  <c r="G28" i="2"/>
  <c r="H28" i="2"/>
  <c r="I28" i="2"/>
  <c r="M28" i="2"/>
  <c r="N28" i="2"/>
  <c r="Y28" i="2"/>
  <c r="A29" i="2"/>
  <c r="A30" i="2" s="1"/>
  <c r="A31" i="2" s="1"/>
  <c r="A32" i="2" s="1"/>
  <c r="A33" i="2" s="1"/>
  <c r="A34" i="2" s="1"/>
  <c r="A35" i="2" s="1"/>
  <c r="A36" i="2" s="1"/>
  <c r="F29" i="2"/>
  <c r="G29" i="2"/>
  <c r="J29" i="2" s="1"/>
  <c r="K29" i="2" s="1"/>
  <c r="H29" i="2"/>
  <c r="I29" i="2"/>
  <c r="M29" i="2"/>
  <c r="N29" i="2"/>
  <c r="Y29" i="2"/>
  <c r="F30" i="2"/>
  <c r="G30" i="2"/>
  <c r="H30" i="2"/>
  <c r="I30" i="2"/>
  <c r="M30" i="2"/>
  <c r="N30" i="2"/>
  <c r="Y30" i="2"/>
  <c r="F31" i="2"/>
  <c r="G31" i="2"/>
  <c r="H31" i="2"/>
  <c r="I31" i="2"/>
  <c r="M31" i="2"/>
  <c r="N31" i="2"/>
  <c r="Y31" i="2"/>
  <c r="F32" i="2"/>
  <c r="G32" i="2"/>
  <c r="H32" i="2"/>
  <c r="I32" i="2"/>
  <c r="M32" i="2"/>
  <c r="N32" i="2"/>
  <c r="Y32" i="2"/>
  <c r="F33" i="2"/>
  <c r="G33" i="2"/>
  <c r="H33" i="2"/>
  <c r="I33" i="2"/>
  <c r="M33" i="2"/>
  <c r="N33" i="2"/>
  <c r="Y33" i="2"/>
  <c r="F34" i="2"/>
  <c r="G34" i="2"/>
  <c r="H34" i="2"/>
  <c r="I34" i="2"/>
  <c r="M34" i="2"/>
  <c r="N34" i="2"/>
  <c r="Y34" i="2"/>
  <c r="F35" i="2"/>
  <c r="J35" i="2" s="1"/>
  <c r="K35" i="2" s="1"/>
  <c r="G35" i="2"/>
  <c r="H35" i="2"/>
  <c r="I35" i="2"/>
  <c r="M35" i="2"/>
  <c r="N35" i="2"/>
  <c r="Y35" i="2"/>
  <c r="F36" i="2"/>
  <c r="J36" i="2" s="1"/>
  <c r="K36" i="2" s="1"/>
  <c r="G36" i="2"/>
  <c r="H36" i="2"/>
  <c r="I36" i="2"/>
  <c r="M36" i="2"/>
  <c r="N36" i="2"/>
  <c r="Y36" i="2"/>
  <c r="Y37" i="2"/>
  <c r="F38" i="2"/>
  <c r="G38" i="2"/>
  <c r="H38" i="2"/>
  <c r="I38" i="2"/>
  <c r="M38" i="2"/>
  <c r="N38" i="2"/>
  <c r="Y38" i="2"/>
  <c r="A39" i="2"/>
  <c r="F39" i="2"/>
  <c r="J39" i="2" s="1"/>
  <c r="K39" i="2" s="1"/>
  <c r="G39" i="2"/>
  <c r="H39" i="2"/>
  <c r="I39" i="2"/>
  <c r="M39" i="2"/>
  <c r="N39" i="2"/>
  <c r="Y39" i="2"/>
  <c r="Y40" i="2"/>
  <c r="F41" i="2"/>
  <c r="J41" i="2" s="1"/>
  <c r="K41" i="2" s="1"/>
  <c r="G41" i="2"/>
  <c r="H41" i="2"/>
  <c r="I41" i="2"/>
  <c r="M41" i="2"/>
  <c r="N41" i="2"/>
  <c r="Y41" i="2"/>
  <c r="A42" i="2"/>
  <c r="A43" i="2"/>
  <c r="A44" i="2" s="1"/>
  <c r="A45" i="2" s="1"/>
  <c r="A46" i="2" s="1"/>
  <c r="A47" i="2" s="1"/>
  <c r="F42" i="2"/>
  <c r="G42" i="2"/>
  <c r="H42" i="2"/>
  <c r="I42" i="2"/>
  <c r="M42" i="2"/>
  <c r="N42" i="2"/>
  <c r="Y42" i="2"/>
  <c r="F43" i="2"/>
  <c r="G43" i="2"/>
  <c r="H43" i="2"/>
  <c r="I43" i="2"/>
  <c r="M43" i="2"/>
  <c r="N43" i="2"/>
  <c r="Y43" i="2"/>
  <c r="F44" i="2"/>
  <c r="G44" i="2"/>
  <c r="J44" i="2" s="1"/>
  <c r="K44" i="2" s="1"/>
  <c r="H44" i="2"/>
  <c r="I44" i="2"/>
  <c r="M44" i="2"/>
  <c r="N44" i="2"/>
  <c r="Y44" i="2"/>
  <c r="F45" i="2"/>
  <c r="G45" i="2"/>
  <c r="H45" i="2"/>
  <c r="J45" i="2" s="1"/>
  <c r="K45" i="2" s="1"/>
  <c r="I45" i="2"/>
  <c r="M45" i="2"/>
  <c r="N45" i="2"/>
  <c r="Y45" i="2"/>
  <c r="F46" i="2"/>
  <c r="G46" i="2"/>
  <c r="H46" i="2"/>
  <c r="I46" i="2"/>
  <c r="M46" i="2"/>
  <c r="N46" i="2"/>
  <c r="Y46" i="2"/>
  <c r="F47" i="2"/>
  <c r="G47" i="2"/>
  <c r="H47" i="2"/>
  <c r="I47" i="2"/>
  <c r="M47" i="2"/>
  <c r="N47" i="2"/>
  <c r="Y47" i="2"/>
  <c r="F48" i="2"/>
  <c r="G48" i="2"/>
  <c r="H48" i="2"/>
  <c r="I48" i="2"/>
  <c r="M48" i="2"/>
  <c r="N48" i="2"/>
  <c r="Y48" i="2"/>
  <c r="F49" i="2"/>
  <c r="G49" i="2"/>
  <c r="H49" i="2"/>
  <c r="I49" i="2"/>
  <c r="M49" i="2"/>
  <c r="N49" i="2"/>
  <c r="Y49" i="2"/>
  <c r="F50" i="2"/>
  <c r="G50" i="2"/>
  <c r="H50" i="2"/>
  <c r="I50" i="2"/>
  <c r="M50" i="2"/>
  <c r="N50" i="2"/>
  <c r="Y50" i="2"/>
  <c r="F51" i="2"/>
  <c r="J51" i="2" s="1"/>
  <c r="K51" i="2" s="1"/>
  <c r="G51" i="2"/>
  <c r="H51" i="2"/>
  <c r="I51" i="2"/>
  <c r="M51" i="2"/>
  <c r="N51" i="2"/>
  <c r="Y51" i="2"/>
  <c r="F52" i="2"/>
  <c r="G52" i="2"/>
  <c r="J52" i="2" s="1"/>
  <c r="K52" i="2" s="1"/>
  <c r="H52" i="2"/>
  <c r="I52" i="2"/>
  <c r="M52" i="2"/>
  <c r="N52" i="2"/>
  <c r="Y52" i="2"/>
  <c r="F53" i="2"/>
  <c r="G53" i="2"/>
  <c r="H53" i="2"/>
  <c r="I53" i="2"/>
  <c r="M53" i="2"/>
  <c r="N53" i="2"/>
  <c r="Y53" i="2"/>
  <c r="F54" i="2"/>
  <c r="G54" i="2"/>
  <c r="H54" i="2"/>
  <c r="J54" i="2" s="1"/>
  <c r="K54" i="2" s="1"/>
  <c r="I54" i="2"/>
  <c r="M54" i="2"/>
  <c r="N54" i="2"/>
  <c r="Y54" i="2"/>
  <c r="F55" i="2"/>
  <c r="G55" i="2"/>
  <c r="J55" i="2" s="1"/>
  <c r="K55" i="2" s="1"/>
  <c r="H55" i="2"/>
  <c r="I55" i="2"/>
  <c r="M55" i="2"/>
  <c r="N55" i="2"/>
  <c r="Y55" i="2"/>
  <c r="F56" i="2"/>
  <c r="G56" i="2"/>
  <c r="H56" i="2"/>
  <c r="I56" i="2"/>
  <c r="M56" i="2"/>
  <c r="N56" i="2"/>
  <c r="Y56" i="2"/>
  <c r="F57" i="2"/>
  <c r="G57" i="2"/>
  <c r="H57" i="2"/>
  <c r="I57" i="2"/>
  <c r="M57" i="2"/>
  <c r="N57" i="2"/>
  <c r="Y57" i="2"/>
  <c r="F58" i="2"/>
  <c r="G58" i="2"/>
  <c r="H58" i="2"/>
  <c r="I58" i="2"/>
  <c r="M58" i="2"/>
  <c r="N58" i="2"/>
  <c r="Y58" i="2"/>
  <c r="F59" i="2"/>
  <c r="G59" i="2"/>
  <c r="H59" i="2"/>
  <c r="I59" i="2"/>
  <c r="M59" i="2"/>
  <c r="N59" i="2"/>
  <c r="Y59" i="2"/>
  <c r="F60" i="2"/>
  <c r="G60" i="2"/>
  <c r="J60" i="2" s="1"/>
  <c r="K60" i="2" s="1"/>
  <c r="H60" i="2"/>
  <c r="I60" i="2"/>
  <c r="M60" i="2"/>
  <c r="N60" i="2"/>
  <c r="Y60" i="2"/>
  <c r="F61" i="2"/>
  <c r="G61" i="2"/>
  <c r="H61" i="2"/>
  <c r="I61" i="2"/>
  <c r="M61" i="2"/>
  <c r="N61" i="2"/>
  <c r="Y61" i="2"/>
  <c r="F62" i="2"/>
  <c r="G62" i="2"/>
  <c r="H62" i="2"/>
  <c r="I62" i="2"/>
  <c r="M62" i="2"/>
  <c r="N62" i="2"/>
  <c r="Y62" i="2"/>
  <c r="F63" i="2"/>
  <c r="G63" i="2"/>
  <c r="H63" i="2"/>
  <c r="I63" i="2"/>
  <c r="M63" i="2"/>
  <c r="N63" i="2"/>
  <c r="Y63" i="2"/>
  <c r="F64" i="2"/>
  <c r="G64" i="2"/>
  <c r="H64" i="2"/>
  <c r="I64" i="2"/>
  <c r="M64" i="2"/>
  <c r="N64" i="2"/>
  <c r="Y64" i="2"/>
  <c r="F65" i="2"/>
  <c r="G65" i="2"/>
  <c r="H65" i="2"/>
  <c r="I65" i="2"/>
  <c r="M65" i="2"/>
  <c r="N65" i="2"/>
  <c r="Y65" i="2"/>
  <c r="Y66" i="2"/>
  <c r="F67" i="2"/>
  <c r="G67" i="2"/>
  <c r="H67" i="2"/>
  <c r="I67" i="2"/>
  <c r="M67" i="2"/>
  <c r="N67" i="2"/>
  <c r="Y67" i="2"/>
  <c r="F68" i="2"/>
  <c r="G68" i="2"/>
  <c r="H68" i="2"/>
  <c r="I68" i="2"/>
  <c r="M68" i="2"/>
  <c r="N68" i="2"/>
  <c r="Y68" i="2"/>
  <c r="F69" i="2"/>
  <c r="G69" i="2"/>
  <c r="H69" i="2"/>
  <c r="I69" i="2"/>
  <c r="M69" i="2"/>
  <c r="N69" i="2"/>
  <c r="Y69" i="2"/>
  <c r="F70" i="2"/>
  <c r="G70" i="2"/>
  <c r="J70" i="2" s="1"/>
  <c r="K70" i="2" s="1"/>
  <c r="H70" i="2"/>
  <c r="I70" i="2"/>
  <c r="M70" i="2"/>
  <c r="N70" i="2"/>
  <c r="Y70" i="2"/>
  <c r="F71" i="2"/>
  <c r="G71" i="2"/>
  <c r="H71" i="2"/>
  <c r="I71" i="2"/>
  <c r="M71" i="2"/>
  <c r="N71" i="2"/>
  <c r="Y71" i="2"/>
  <c r="F72" i="2"/>
  <c r="G72" i="2"/>
  <c r="H72" i="2"/>
  <c r="I72" i="2"/>
  <c r="M72" i="2"/>
  <c r="N72" i="2"/>
  <c r="Y72" i="2"/>
  <c r="F73" i="2"/>
  <c r="G73" i="2"/>
  <c r="H73" i="2"/>
  <c r="I73" i="2"/>
  <c r="M73" i="2"/>
  <c r="N73" i="2"/>
  <c r="Y73" i="2"/>
  <c r="F74" i="2"/>
  <c r="G74" i="2"/>
  <c r="H74" i="2"/>
  <c r="I74" i="2"/>
  <c r="M74" i="2"/>
  <c r="N74" i="2"/>
  <c r="Y74" i="2"/>
  <c r="F75" i="2"/>
  <c r="G75" i="2"/>
  <c r="H75" i="2"/>
  <c r="I75" i="2"/>
  <c r="M75" i="2"/>
  <c r="N75" i="2"/>
  <c r="Y75" i="2"/>
  <c r="F76" i="2"/>
  <c r="G76" i="2"/>
  <c r="H76" i="2"/>
  <c r="I76" i="2"/>
  <c r="M76" i="2"/>
  <c r="N76" i="2"/>
  <c r="Y76" i="2"/>
  <c r="F77" i="2"/>
  <c r="G77" i="2"/>
  <c r="H77" i="2"/>
  <c r="I77" i="2"/>
  <c r="M77" i="2"/>
  <c r="N77" i="2"/>
  <c r="Y77" i="2"/>
  <c r="M78" i="2"/>
  <c r="Y78" i="2"/>
  <c r="F79" i="2"/>
  <c r="J79" i="2" s="1"/>
  <c r="K79" i="2" s="1"/>
  <c r="G79" i="2"/>
  <c r="H79" i="2"/>
  <c r="I79" i="2"/>
  <c r="M79" i="2"/>
  <c r="N79" i="2"/>
  <c r="Y79" i="2"/>
  <c r="F80" i="2"/>
  <c r="G80" i="2"/>
  <c r="H80" i="2"/>
  <c r="I80" i="2"/>
  <c r="M80" i="2"/>
  <c r="N80" i="2"/>
  <c r="Y80" i="2"/>
  <c r="G81" i="2"/>
  <c r="H81" i="2"/>
  <c r="I81" i="2"/>
  <c r="M81" i="2"/>
  <c r="N81" i="2"/>
  <c r="Y81" i="2"/>
  <c r="F82" i="2"/>
  <c r="G82" i="2"/>
  <c r="H82" i="2"/>
  <c r="I82" i="2"/>
  <c r="M82" i="2"/>
  <c r="N82" i="2"/>
  <c r="Y82" i="2"/>
  <c r="F83" i="2"/>
  <c r="G83" i="2"/>
  <c r="H83" i="2"/>
  <c r="I83" i="2"/>
  <c r="M83" i="2"/>
  <c r="N83" i="2"/>
  <c r="Y83" i="2"/>
  <c r="F84" i="2"/>
  <c r="G84" i="2"/>
  <c r="H84" i="2"/>
  <c r="I84" i="2"/>
  <c r="M84" i="2"/>
  <c r="N84" i="2"/>
  <c r="Y84" i="2"/>
  <c r="F85" i="2"/>
  <c r="G85" i="2"/>
  <c r="H85" i="2"/>
  <c r="I85" i="2"/>
  <c r="M85" i="2"/>
  <c r="N85" i="2"/>
  <c r="Y85" i="2"/>
  <c r="F86" i="2"/>
  <c r="G86" i="2"/>
  <c r="H86" i="2"/>
  <c r="I86" i="2"/>
  <c r="M86" i="2"/>
  <c r="N86" i="2"/>
  <c r="Y86" i="2"/>
  <c r="F87" i="2"/>
  <c r="G87" i="2"/>
  <c r="J87" i="2" s="1"/>
  <c r="K87" i="2" s="1"/>
  <c r="H87" i="2"/>
  <c r="I87" i="2"/>
  <c r="M87" i="2"/>
  <c r="N87" i="2"/>
  <c r="Y87" i="2"/>
  <c r="F88" i="2"/>
  <c r="G88" i="2"/>
  <c r="H88" i="2"/>
  <c r="I88" i="2"/>
  <c r="M88" i="2"/>
  <c r="N88" i="2"/>
  <c r="Y88" i="2"/>
  <c r="F89" i="2"/>
  <c r="G89" i="2"/>
  <c r="H89" i="2"/>
  <c r="I89" i="2"/>
  <c r="M89" i="2"/>
  <c r="N89" i="2"/>
  <c r="Y89" i="2"/>
  <c r="M90" i="2"/>
  <c r="Y90" i="2"/>
  <c r="F91" i="2"/>
  <c r="G91" i="2"/>
  <c r="H91" i="2"/>
  <c r="I91" i="2"/>
  <c r="M91" i="2"/>
  <c r="N91" i="2"/>
  <c r="Y91" i="2"/>
  <c r="F92" i="2"/>
  <c r="G92" i="2"/>
  <c r="H92" i="2"/>
  <c r="I92" i="2"/>
  <c r="M92" i="2"/>
  <c r="N92" i="2"/>
  <c r="Y92" i="2"/>
  <c r="F93" i="2"/>
  <c r="G93" i="2"/>
  <c r="H93" i="2"/>
  <c r="I93" i="2"/>
  <c r="M93" i="2"/>
  <c r="N93" i="2"/>
  <c r="Y93" i="2"/>
  <c r="F94" i="2"/>
  <c r="G94" i="2"/>
  <c r="H94" i="2"/>
  <c r="I94" i="2"/>
  <c r="M94" i="2"/>
  <c r="N94" i="2"/>
  <c r="Y94" i="2"/>
  <c r="F95" i="2"/>
  <c r="G95" i="2"/>
  <c r="H95" i="2"/>
  <c r="I95" i="2"/>
  <c r="M95" i="2"/>
  <c r="N95" i="2"/>
  <c r="Y95" i="2"/>
  <c r="F96" i="2"/>
  <c r="G96" i="2"/>
  <c r="J96" i="2" s="1"/>
  <c r="K96" i="2" s="1"/>
  <c r="H96" i="2"/>
  <c r="I96" i="2"/>
  <c r="M96" i="2"/>
  <c r="N96" i="2"/>
  <c r="Y96" i="2"/>
  <c r="F97" i="2"/>
  <c r="G97" i="2"/>
  <c r="H97" i="2"/>
  <c r="I97" i="2"/>
  <c r="M97" i="2"/>
  <c r="N97" i="2"/>
  <c r="Y97" i="2"/>
  <c r="F98" i="2"/>
  <c r="G98" i="2"/>
  <c r="J98" i="2" s="1"/>
  <c r="K98" i="2" s="1"/>
  <c r="H98" i="2"/>
  <c r="I98" i="2"/>
  <c r="M98" i="2"/>
  <c r="N98" i="2"/>
  <c r="Y98" i="2"/>
  <c r="F99" i="2"/>
  <c r="G99" i="2"/>
  <c r="H99" i="2"/>
  <c r="I99" i="2"/>
  <c r="M99" i="2"/>
  <c r="N99" i="2"/>
  <c r="Y99" i="2"/>
  <c r="F100" i="2"/>
  <c r="G100" i="2"/>
  <c r="H100" i="2"/>
  <c r="I100" i="2"/>
  <c r="M100" i="2"/>
  <c r="N100" i="2"/>
  <c r="Y100" i="2"/>
  <c r="F101" i="2"/>
  <c r="G101" i="2"/>
  <c r="H101" i="2"/>
  <c r="I101" i="2"/>
  <c r="M101" i="2"/>
  <c r="N101" i="2"/>
  <c r="Y101" i="2"/>
  <c r="M102" i="2"/>
  <c r="Y102" i="2"/>
  <c r="F103" i="2"/>
  <c r="G103" i="2"/>
  <c r="H103" i="2"/>
  <c r="I103" i="2"/>
  <c r="M103" i="2"/>
  <c r="N103" i="2"/>
  <c r="Y103" i="2"/>
  <c r="F104" i="2"/>
  <c r="G104" i="2"/>
  <c r="H104" i="2"/>
  <c r="I104" i="2"/>
  <c r="M104" i="2"/>
  <c r="N104" i="2"/>
  <c r="Y104" i="2"/>
  <c r="F105" i="2"/>
  <c r="J105" i="2"/>
  <c r="K105" i="2" s="1"/>
  <c r="G105" i="2"/>
  <c r="H105" i="2"/>
  <c r="I105" i="2"/>
  <c r="M105" i="2"/>
  <c r="N105" i="2"/>
  <c r="Y105" i="2"/>
  <c r="F106" i="2"/>
  <c r="G106" i="2"/>
  <c r="H106" i="2"/>
  <c r="I106" i="2"/>
  <c r="M106" i="2"/>
  <c r="N106" i="2"/>
  <c r="Y106" i="2"/>
  <c r="F107" i="2"/>
  <c r="G107" i="2"/>
  <c r="H107" i="2"/>
  <c r="J107" i="2" s="1"/>
  <c r="K107" i="2" s="1"/>
  <c r="I107" i="2"/>
  <c r="M107" i="2"/>
  <c r="N107" i="2"/>
  <c r="Y107" i="2"/>
  <c r="F108" i="2"/>
  <c r="G108" i="2"/>
  <c r="H108" i="2"/>
  <c r="I108" i="2"/>
  <c r="M108" i="2"/>
  <c r="N108" i="2"/>
  <c r="Y108" i="2"/>
  <c r="F109" i="2"/>
  <c r="G109" i="2"/>
  <c r="H109" i="2"/>
  <c r="I109" i="2"/>
  <c r="M109" i="2"/>
  <c r="N109" i="2"/>
  <c r="Y109" i="2"/>
  <c r="M110" i="2"/>
  <c r="Y110" i="2"/>
  <c r="F111" i="2"/>
  <c r="G111" i="2"/>
  <c r="J111" i="2" s="1"/>
  <c r="K111" i="2" s="1"/>
  <c r="H111" i="2"/>
  <c r="I111" i="2"/>
  <c r="M111" i="2"/>
  <c r="N111" i="2"/>
  <c r="Y111" i="2"/>
  <c r="F112" i="2"/>
  <c r="G112" i="2"/>
  <c r="H112" i="2"/>
  <c r="I112" i="2"/>
  <c r="M112" i="2"/>
  <c r="N112" i="2"/>
  <c r="Y112" i="2"/>
  <c r="F113" i="2"/>
  <c r="G113" i="2"/>
  <c r="H113" i="2"/>
  <c r="I113" i="2"/>
  <c r="M113" i="2"/>
  <c r="N113" i="2"/>
  <c r="Y113" i="2"/>
  <c r="F114" i="2"/>
  <c r="G114" i="2"/>
  <c r="H114" i="2"/>
  <c r="I114" i="2"/>
  <c r="M114" i="2"/>
  <c r="N114" i="2"/>
  <c r="Y114" i="2"/>
  <c r="F115" i="2"/>
  <c r="G115" i="2"/>
  <c r="H115" i="2"/>
  <c r="I115" i="2"/>
  <c r="M115" i="2"/>
  <c r="N115" i="2"/>
  <c r="Y115" i="2"/>
  <c r="F116" i="2"/>
  <c r="G116" i="2"/>
  <c r="H116" i="2"/>
  <c r="I116" i="2"/>
  <c r="M116" i="2"/>
  <c r="N116" i="2"/>
  <c r="Y116" i="2"/>
  <c r="F117" i="2"/>
  <c r="G117" i="2"/>
  <c r="H117" i="2"/>
  <c r="I117" i="2"/>
  <c r="M117" i="2"/>
  <c r="N117" i="2"/>
  <c r="Y117" i="2"/>
  <c r="F118" i="2"/>
  <c r="G118" i="2"/>
  <c r="H118" i="2"/>
  <c r="I118" i="2"/>
  <c r="M118" i="2"/>
  <c r="N118" i="2"/>
  <c r="Y118" i="2"/>
  <c r="M119" i="2"/>
  <c r="Y119" i="2"/>
  <c r="F120" i="2"/>
  <c r="G120" i="2"/>
  <c r="H120" i="2"/>
  <c r="J120" i="2" s="1"/>
  <c r="K120" i="2" s="1"/>
  <c r="I120" i="2"/>
  <c r="M120" i="2"/>
  <c r="N120" i="2"/>
  <c r="Y120" i="2"/>
  <c r="F121" i="2"/>
  <c r="G121" i="2"/>
  <c r="H121" i="2"/>
  <c r="I121" i="2"/>
  <c r="M121" i="2"/>
  <c r="N121" i="2"/>
  <c r="Y121" i="2"/>
  <c r="F122" i="2"/>
  <c r="G122" i="2"/>
  <c r="H122" i="2"/>
  <c r="I122" i="2"/>
  <c r="M122" i="2"/>
  <c r="N122" i="2"/>
  <c r="Y122" i="2"/>
  <c r="F123" i="2"/>
  <c r="G123" i="2"/>
  <c r="H123" i="2"/>
  <c r="I123" i="2"/>
  <c r="M123" i="2"/>
  <c r="N123" i="2"/>
  <c r="Y123" i="2"/>
  <c r="F124" i="2"/>
  <c r="G124" i="2"/>
  <c r="H124" i="2"/>
  <c r="I124" i="2"/>
  <c r="M124" i="2"/>
  <c r="N124" i="2"/>
  <c r="Y124" i="2"/>
  <c r="F125" i="2"/>
  <c r="G125" i="2"/>
  <c r="H125" i="2"/>
  <c r="I125" i="2"/>
  <c r="M125" i="2"/>
  <c r="N125" i="2"/>
  <c r="Y125" i="2"/>
  <c r="G126" i="2"/>
  <c r="H126" i="2"/>
  <c r="I126" i="2"/>
  <c r="M126" i="2"/>
  <c r="N126" i="2"/>
  <c r="Y126" i="2"/>
  <c r="F127" i="2"/>
  <c r="G127" i="2"/>
  <c r="H127" i="2"/>
  <c r="I127" i="2"/>
  <c r="M127" i="2"/>
  <c r="N127" i="2"/>
  <c r="Y127" i="2"/>
  <c r="F128" i="2"/>
  <c r="J128" i="2" s="1"/>
  <c r="K128" i="2" s="1"/>
  <c r="G128" i="2"/>
  <c r="H128" i="2"/>
  <c r="I128" i="2"/>
  <c r="M128" i="2"/>
  <c r="N128" i="2"/>
  <c r="Y128" i="2"/>
  <c r="F129" i="2"/>
  <c r="G129" i="2"/>
  <c r="H129" i="2"/>
  <c r="I129" i="2"/>
  <c r="M129" i="2"/>
  <c r="N129" i="2"/>
  <c r="Y129" i="2"/>
  <c r="F130" i="2"/>
  <c r="G130" i="2"/>
  <c r="H130" i="2"/>
  <c r="J130" i="2" s="1"/>
  <c r="K130" i="2" s="1"/>
  <c r="I130" i="2"/>
  <c r="M130" i="2"/>
  <c r="N130" i="2"/>
  <c r="Y130" i="2"/>
  <c r="F131" i="2"/>
  <c r="G131" i="2"/>
  <c r="H131" i="2"/>
  <c r="I131" i="2"/>
  <c r="M131" i="2"/>
  <c r="N131" i="2"/>
  <c r="Y131" i="2"/>
  <c r="F132" i="2"/>
  <c r="G132" i="2"/>
  <c r="H132" i="2"/>
  <c r="I132" i="2"/>
  <c r="M132" i="2"/>
  <c r="N132" i="2"/>
  <c r="Y132" i="2"/>
  <c r="F133" i="2"/>
  <c r="G133" i="2"/>
  <c r="H133" i="2"/>
  <c r="I133" i="2"/>
  <c r="M133" i="2"/>
  <c r="N133" i="2"/>
  <c r="Y133" i="2"/>
  <c r="H29" i="1"/>
  <c r="N29" i="1" s="1"/>
  <c r="F26" i="1"/>
  <c r="K26" i="1" s="1"/>
  <c r="L26" i="1" s="1"/>
  <c r="G26" i="1"/>
  <c r="A49" i="2"/>
  <c r="A50" i="2" s="1"/>
  <c r="A51" i="2" s="1"/>
  <c r="A52" i="2" s="1"/>
  <c r="A53" i="2" s="1"/>
  <c r="A54" i="2" s="1"/>
  <c r="A55" i="2" s="1"/>
  <c r="A56" i="2" s="1"/>
  <c r="A57" i="2" s="1"/>
  <c r="A58" i="2" s="1"/>
  <c r="A59" i="2" s="1"/>
  <c r="A60" i="2" s="1"/>
  <c r="A61" i="2" s="1"/>
  <c r="A62" i="2" s="1"/>
  <c r="A63" i="2" s="1"/>
  <c r="A64" i="2" s="1"/>
  <c r="A65" i="2" s="1"/>
  <c r="A68" i="2"/>
  <c r="A69" i="2" s="1"/>
  <c r="A70" i="2" s="1"/>
  <c r="A71" i="2" s="1"/>
  <c r="A72" i="2" s="1"/>
  <c r="A73" i="2" s="1"/>
  <c r="A74" i="2" s="1"/>
  <c r="A75" i="2" s="1"/>
  <c r="A76" i="2" s="1"/>
  <c r="A77" i="2" s="1"/>
  <c r="A80" i="2"/>
  <c r="A81" i="2" s="1"/>
  <c r="A82" i="2" s="1"/>
  <c r="A83" i="2" s="1"/>
  <c r="A84" i="2" s="1"/>
  <c r="A85" i="2" s="1"/>
  <c r="A86" i="2" s="1"/>
  <c r="A87" i="2" s="1"/>
  <c r="A88" i="2" s="1"/>
  <c r="A89" i="2" s="1"/>
  <c r="A92" i="2"/>
  <c r="A93" i="2" s="1"/>
  <c r="A94" i="2" s="1"/>
  <c r="A95" i="2" s="1"/>
  <c r="A96" i="2" s="1"/>
  <c r="A97" i="2" s="1"/>
  <c r="A98" i="2" s="1"/>
  <c r="A99" i="2" s="1"/>
  <c r="A100" i="2" s="1"/>
  <c r="A101" i="2" s="1"/>
  <c r="A104" i="2"/>
  <c r="A105" i="2" s="1"/>
  <c r="A106" i="2" s="1"/>
  <c r="A107" i="2" s="1"/>
  <c r="A108" i="2" s="1"/>
  <c r="A109" i="2" s="1"/>
  <c r="A112" i="2"/>
  <c r="A113" i="2" s="1"/>
  <c r="A114" i="2" s="1"/>
  <c r="A115" i="2" s="1"/>
  <c r="A116" i="2" s="1"/>
  <c r="A117" i="2" s="1"/>
  <c r="A118" i="2" s="1"/>
  <c r="A121" i="2"/>
  <c r="A122" i="2" s="1"/>
  <c r="A123" i="2" s="1"/>
  <c r="A124" i="2" s="1"/>
  <c r="A125" i="2" s="1"/>
  <c r="A126" i="2" s="1"/>
  <c r="A127" i="2" s="1"/>
  <c r="A128" i="2" s="1"/>
  <c r="A129" i="2" s="1"/>
  <c r="A130" i="2" s="1"/>
  <c r="A131" i="2" s="1"/>
  <c r="A132" i="2" s="1"/>
  <c r="A133" i="2" s="1"/>
  <c r="G29" i="1"/>
  <c r="E29" i="1"/>
  <c r="M29" i="1" s="1"/>
  <c r="I26" i="1"/>
  <c r="F29" i="1"/>
  <c r="J28" i="1"/>
  <c r="I29" i="1"/>
  <c r="J29" i="1"/>
  <c r="A18" i="2"/>
  <c r="A19" i="2" s="1"/>
  <c r="J56" i="2"/>
  <c r="K56" i="2" s="1"/>
  <c r="J26" i="2"/>
  <c r="K26" i="2" s="1"/>
  <c r="J26" i="1"/>
  <c r="J80" i="2"/>
  <c r="K80" i="2" s="1"/>
  <c r="H26" i="1"/>
  <c r="N26" i="1"/>
  <c r="Y26" i="1" s="1"/>
  <c r="E26" i="1"/>
  <c r="M26" i="1" s="1"/>
  <c r="J25" i="1"/>
  <c r="K25" i="1"/>
  <c r="L25" i="1" s="1"/>
  <c r="J114" i="2" l="1"/>
  <c r="K114" i="2" s="1"/>
  <c r="J28" i="2"/>
  <c r="K28" i="2" s="1"/>
  <c r="J104" i="2"/>
  <c r="K104" i="2" s="1"/>
  <c r="J101" i="2"/>
  <c r="K101" i="2" s="1"/>
  <c r="J100" i="2"/>
  <c r="K100" i="2" s="1"/>
  <c r="J94" i="2"/>
  <c r="K94" i="2" s="1"/>
  <c r="J93" i="2"/>
  <c r="K93" i="2" s="1"/>
  <c r="J83" i="2"/>
  <c r="K83" i="2" s="1"/>
  <c r="J73" i="2"/>
  <c r="K73" i="2" s="1"/>
  <c r="J72" i="2"/>
  <c r="K72" i="2" s="1"/>
  <c r="J17" i="2"/>
  <c r="K17" i="2" s="1"/>
  <c r="J46" i="2"/>
  <c r="K46" i="2" s="1"/>
  <c r="J31" i="2"/>
  <c r="K31" i="2" s="1"/>
  <c r="J19" i="2"/>
  <c r="K19" i="2" s="1"/>
  <c r="J129" i="2"/>
  <c r="K129" i="2" s="1"/>
  <c r="J122" i="2"/>
  <c r="K122" i="2" s="1"/>
  <c r="J85" i="2"/>
  <c r="K85" i="2" s="1"/>
  <c r="J84" i="2"/>
  <c r="K84" i="2" s="1"/>
  <c r="J75" i="2"/>
  <c r="K75" i="2" s="1"/>
  <c r="J74" i="2"/>
  <c r="K74" i="2" s="1"/>
  <c r="J33" i="2"/>
  <c r="K33" i="2" s="1"/>
  <c r="J24" i="2"/>
  <c r="K24" i="2" s="1"/>
  <c r="J23" i="2"/>
  <c r="K23" i="2" s="1"/>
  <c r="J81" i="2"/>
  <c r="K81" i="2" s="1"/>
  <c r="J71" i="2"/>
  <c r="K71" i="2" s="1"/>
  <c r="J123" i="2"/>
  <c r="K123" i="2" s="1"/>
  <c r="J91" i="2"/>
  <c r="K91" i="2" s="1"/>
  <c r="J89" i="2"/>
  <c r="K89" i="2" s="1"/>
  <c r="J113" i="2"/>
  <c r="K113" i="2" s="1"/>
  <c r="J97" i="2"/>
  <c r="K97" i="2" s="1"/>
  <c r="J131" i="2"/>
  <c r="K131" i="2" s="1"/>
  <c r="J125" i="2"/>
  <c r="K125" i="2" s="1"/>
  <c r="J124" i="2"/>
  <c r="K124" i="2" s="1"/>
  <c r="J109" i="2"/>
  <c r="K109" i="2" s="1"/>
  <c r="J65" i="2"/>
  <c r="K65" i="2" s="1"/>
  <c r="J34" i="2"/>
  <c r="K34" i="2" s="1"/>
  <c r="J115" i="2"/>
  <c r="K115" i="2" s="1"/>
  <c r="J132" i="2"/>
  <c r="K132" i="2" s="1"/>
  <c r="J103" i="2"/>
  <c r="K103" i="2" s="1"/>
  <c r="J92" i="2"/>
  <c r="K92" i="2" s="1"/>
  <c r="J88" i="2"/>
  <c r="K88" i="2" s="1"/>
  <c r="J69" i="2"/>
  <c r="K69" i="2" s="1"/>
  <c r="J18" i="2"/>
  <c r="K18" i="2" s="1"/>
  <c r="J16" i="2"/>
  <c r="K16" i="2" s="1"/>
  <c r="J61" i="2"/>
  <c r="K61" i="2" s="1"/>
  <c r="J53" i="2"/>
  <c r="K53" i="2" s="1"/>
  <c r="J25" i="2"/>
  <c r="K25" i="2" s="1"/>
  <c r="J22" i="2"/>
  <c r="K22" i="2" s="1"/>
  <c r="J126" i="2"/>
  <c r="K126" i="2" s="1"/>
  <c r="J116" i="2"/>
  <c r="K116" i="2" s="1"/>
  <c r="J108" i="2"/>
  <c r="K108" i="2" s="1"/>
  <c r="J95" i="2"/>
  <c r="K95" i="2" s="1"/>
  <c r="J62" i="2"/>
  <c r="K62" i="2" s="1"/>
  <c r="J47" i="2"/>
  <c r="K47" i="2" s="1"/>
  <c r="J27" i="2"/>
  <c r="K27" i="2" s="1"/>
  <c r="J133" i="2"/>
  <c r="K133" i="2" s="1"/>
  <c r="J112" i="2"/>
  <c r="K112" i="2" s="1"/>
  <c r="K29" i="1"/>
  <c r="L29" i="1" s="1"/>
  <c r="J127" i="2"/>
  <c r="K127" i="2" s="1"/>
  <c r="J121" i="2"/>
  <c r="K121" i="2" s="1"/>
  <c r="J117" i="2"/>
  <c r="K117" i="2" s="1"/>
  <c r="J64" i="2"/>
  <c r="K64" i="2" s="1"/>
  <c r="J63" i="2"/>
  <c r="K63" i="2" s="1"/>
  <c r="J48" i="2"/>
  <c r="K48" i="2" s="1"/>
  <c r="J30" i="2"/>
  <c r="K30" i="2" s="1"/>
  <c r="J106" i="2"/>
  <c r="K106" i="2" s="1"/>
  <c r="J82" i="2"/>
  <c r="K82" i="2" s="1"/>
  <c r="J118" i="2"/>
  <c r="K118" i="2" s="1"/>
  <c r="J86" i="2"/>
  <c r="K86" i="2" s="1"/>
  <c r="J76" i="2"/>
  <c r="K76" i="2" s="1"/>
  <c r="J68" i="2"/>
  <c r="K68" i="2" s="1"/>
  <c r="J67" i="2"/>
  <c r="K67" i="2" s="1"/>
  <c r="J57" i="2"/>
  <c r="K57" i="2" s="1"/>
  <c r="J50" i="2"/>
  <c r="K50" i="2" s="1"/>
  <c r="J49" i="2"/>
  <c r="K49" i="2" s="1"/>
  <c r="J32" i="2"/>
  <c r="K32" i="2" s="1"/>
  <c r="L28" i="1"/>
  <c r="J99" i="2"/>
  <c r="K99" i="2" s="1"/>
  <c r="J77" i="2"/>
  <c r="K77" i="2" s="1"/>
  <c r="J59" i="2"/>
  <c r="K59" i="2" s="1"/>
  <c r="J58" i="2"/>
  <c r="K58" i="2" s="1"/>
  <c r="J43" i="2"/>
  <c r="K43" i="2" s="1"/>
  <c r="J42" i="2"/>
  <c r="K42" i="2" s="1"/>
  <c r="J38" i="2"/>
  <c r="K38" i="2" s="1"/>
  <c r="D1" i="1"/>
  <c r="C8" i="2"/>
  <c r="Y25" i="1"/>
  <c r="Y24" i="1"/>
  <c r="A20" i="2"/>
  <c r="F10" i="1" s="1"/>
  <c r="C12" i="1"/>
  <c r="E21" i="1"/>
  <c r="M21" i="1" s="1"/>
  <c r="D17" i="1"/>
  <c r="Y29" i="1"/>
  <c r="Z29" i="1"/>
  <c r="Z26" i="1"/>
  <c r="D9" i="1" l="1"/>
  <c r="G10" i="1"/>
  <c r="G9" i="1" s="1"/>
  <c r="C20" i="1"/>
  <c r="G22" i="1"/>
  <c r="G21" i="1" s="1"/>
  <c r="E9" i="1"/>
  <c r="M9" i="1" s="1"/>
  <c r="G14" i="1"/>
  <c r="G12" i="1" s="1"/>
  <c r="E13" i="1"/>
  <c r="M13" i="1" s="1"/>
  <c r="D21" i="1"/>
  <c r="I14" i="1"/>
  <c r="I13" i="1" s="1"/>
  <c r="F18" i="1"/>
  <c r="K18" i="1" s="1"/>
  <c r="L18" i="1" s="1"/>
  <c r="D13" i="1"/>
  <c r="I10" i="1"/>
  <c r="I9" i="1" s="1"/>
  <c r="F14" i="1"/>
  <c r="I15" i="1" s="1"/>
  <c r="C8" i="1"/>
  <c r="H10" i="1"/>
  <c r="H9" i="1" s="1"/>
  <c r="C16" i="1"/>
  <c r="I22" i="1"/>
  <c r="I20" i="1" s="1"/>
  <c r="E17" i="1"/>
  <c r="M17" i="1" s="1"/>
  <c r="H14" i="1"/>
  <c r="H12" i="1" s="1"/>
  <c r="F22" i="1"/>
  <c r="E22" i="1" s="1"/>
  <c r="M22" i="1" s="1"/>
  <c r="I18" i="1"/>
  <c r="I17" i="1" s="1"/>
  <c r="G18" i="1"/>
  <c r="G16" i="1" s="1"/>
  <c r="G20" i="1"/>
  <c r="I8" i="1"/>
  <c r="E15" i="1"/>
  <c r="M15" i="1" s="1"/>
  <c r="G15" i="1"/>
  <c r="H15" i="1"/>
  <c r="F15" i="1"/>
  <c r="J14" i="1"/>
  <c r="F23" i="1"/>
  <c r="I16" i="1"/>
  <c r="K10" i="1"/>
  <c r="L10" i="1" s="1"/>
  <c r="F9" i="1"/>
  <c r="F8" i="1"/>
  <c r="I11" i="1"/>
  <c r="J10" i="1"/>
  <c r="E10" i="1"/>
  <c r="M10" i="1" s="1"/>
  <c r="F11" i="1"/>
  <c r="E11" i="1"/>
  <c r="M11" i="1" s="1"/>
  <c r="G11" i="1"/>
  <c r="H11" i="1"/>
  <c r="Z25" i="1"/>
  <c r="Z24" i="1"/>
  <c r="I21" i="1"/>
  <c r="Z27" i="1"/>
  <c r="Z28" i="1"/>
  <c r="Y27" i="1"/>
  <c r="Y28" i="1"/>
  <c r="H22" i="1"/>
  <c r="H18" i="1"/>
  <c r="G13" i="1" l="1"/>
  <c r="J22" i="1"/>
  <c r="G17" i="1"/>
  <c r="G23" i="1"/>
  <c r="F13" i="1"/>
  <c r="E23" i="1"/>
  <c r="M23" i="1" s="1"/>
  <c r="K14" i="1"/>
  <c r="L14" i="1" s="1"/>
  <c r="H8" i="1"/>
  <c r="H13" i="1"/>
  <c r="F21" i="1"/>
  <c r="E14" i="1"/>
  <c r="M14" i="1" s="1"/>
  <c r="I23" i="1"/>
  <c r="F12" i="1"/>
  <c r="K22" i="1"/>
  <c r="L22" i="1" s="1"/>
  <c r="G8" i="1"/>
  <c r="G19" i="1"/>
  <c r="I12" i="1"/>
  <c r="I19" i="1"/>
  <c r="F17" i="1"/>
  <c r="J17" i="1" s="1"/>
  <c r="H23" i="1"/>
  <c r="N23" i="1" s="1"/>
  <c r="E18" i="1"/>
  <c r="M18" i="1" s="1"/>
  <c r="H19" i="1"/>
  <c r="J18" i="1"/>
  <c r="F16" i="1"/>
  <c r="M16" i="1" s="1"/>
  <c r="F20" i="1"/>
  <c r="F19" i="1"/>
  <c r="K19" i="1" s="1"/>
  <c r="L19" i="1" s="1"/>
  <c r="E19" i="1"/>
  <c r="M19" i="1" s="1"/>
  <c r="N15" i="1"/>
  <c r="V15" i="1" s="1"/>
  <c r="N11" i="1"/>
  <c r="U26" i="1" s="1"/>
  <c r="H17" i="1"/>
  <c r="H16" i="1"/>
  <c r="H20" i="1"/>
  <c r="H21" i="1"/>
  <c r="J13" i="1"/>
  <c r="L13" i="1"/>
  <c r="M8" i="1"/>
  <c r="K8" i="1"/>
  <c r="L8" i="1" s="1"/>
  <c r="J8" i="1"/>
  <c r="J9" i="1"/>
  <c r="L9" i="1"/>
  <c r="K11" i="1"/>
  <c r="L11" i="1" s="1"/>
  <c r="J11" i="1"/>
  <c r="J23" i="1"/>
  <c r="K23" i="1"/>
  <c r="L23" i="1" s="1"/>
  <c r="L21" i="1"/>
  <c r="J21" i="1"/>
  <c r="M20" i="1"/>
  <c r="K20" i="1"/>
  <c r="L20" i="1" s="1"/>
  <c r="J20" i="1"/>
  <c r="J15" i="1"/>
  <c r="K15" i="1"/>
  <c r="L15" i="1" s="1"/>
  <c r="L12" i="1"/>
  <c r="M12" i="1"/>
  <c r="J12" i="1"/>
  <c r="J16" i="1" l="1"/>
  <c r="K16" i="1"/>
  <c r="L16" i="1" s="1"/>
  <c r="J19" i="1"/>
  <c r="L17" i="1"/>
  <c r="N19" i="1"/>
  <c r="U19" i="1" s="1"/>
  <c r="Z15" i="1"/>
  <c r="Z13" i="1" s="1"/>
  <c r="Y11" i="1"/>
  <c r="Y10" i="1" s="1"/>
  <c r="Z11" i="1"/>
  <c r="Z8" i="1" s="1"/>
  <c r="Y15" i="1"/>
  <c r="Y14" i="1" s="1"/>
  <c r="X11" i="1"/>
  <c r="X10" i="1" s="1"/>
  <c r="V29" i="1"/>
  <c r="V27" i="1" s="1"/>
  <c r="U29" i="1"/>
  <c r="U28" i="1" s="1"/>
  <c r="V26" i="1"/>
  <c r="V24" i="1" s="1"/>
  <c r="U15" i="1"/>
  <c r="U12" i="1" s="1"/>
  <c r="U11" i="1"/>
  <c r="U10" i="1" s="1"/>
  <c r="V11" i="1"/>
  <c r="V8" i="1" s="1"/>
  <c r="V14" i="1"/>
  <c r="V13" i="1"/>
  <c r="V12" i="1"/>
  <c r="X15" i="1"/>
  <c r="U25" i="1"/>
  <c r="U24" i="1"/>
  <c r="Y23" i="1"/>
  <c r="U23" i="1"/>
  <c r="X26" i="1"/>
  <c r="V23" i="1"/>
  <c r="X23" i="1"/>
  <c r="Z23" i="1"/>
  <c r="X29" i="1"/>
  <c r="W11" i="1" l="1"/>
  <c r="X19" i="1"/>
  <c r="X18" i="1" s="1"/>
  <c r="Z19" i="1"/>
  <c r="W26" i="1"/>
  <c r="W23" i="1"/>
  <c r="W22" i="1" s="1"/>
  <c r="V19" i="1"/>
  <c r="V16" i="1" s="1"/>
  <c r="W15" i="1"/>
  <c r="W13" i="1" s="1"/>
  <c r="W29" i="1"/>
  <c r="W27" i="1" s="1"/>
  <c r="Y19" i="1"/>
  <c r="Y17" i="1" s="1"/>
  <c r="W19" i="1"/>
  <c r="W16" i="1" s="1"/>
  <c r="X9" i="1"/>
  <c r="Y12" i="1"/>
  <c r="U9" i="1"/>
  <c r="V9" i="1"/>
  <c r="V10" i="1"/>
  <c r="Y13" i="1"/>
  <c r="Z9" i="1"/>
  <c r="X8" i="1"/>
  <c r="V28" i="1"/>
  <c r="U8" i="1"/>
  <c r="Z10" i="1"/>
  <c r="Y8" i="1"/>
  <c r="Z14" i="1"/>
  <c r="U27" i="1"/>
  <c r="V25" i="1"/>
  <c r="Z12" i="1"/>
  <c r="U14" i="1"/>
  <c r="U13" i="1"/>
  <c r="Y9" i="1"/>
  <c r="Y22" i="1"/>
  <c r="Y20" i="1"/>
  <c r="Y21" i="1"/>
  <c r="X28" i="1"/>
  <c r="X27" i="1"/>
  <c r="X13" i="1"/>
  <c r="X14" i="1"/>
  <c r="X12" i="1"/>
  <c r="W24" i="1"/>
  <c r="W25" i="1"/>
  <c r="V18" i="1"/>
  <c r="X20" i="1"/>
  <c r="X21" i="1"/>
  <c r="X22" i="1"/>
  <c r="V22" i="1"/>
  <c r="V21" i="1"/>
  <c r="V20" i="1"/>
  <c r="U18" i="1"/>
  <c r="U16" i="1"/>
  <c r="U17" i="1"/>
  <c r="W10" i="1"/>
  <c r="W9" i="1"/>
  <c r="W8" i="1"/>
  <c r="X25" i="1"/>
  <c r="X24" i="1"/>
  <c r="X16" i="1"/>
  <c r="Z20" i="1"/>
  <c r="Z22" i="1"/>
  <c r="Z21" i="1"/>
  <c r="U21" i="1"/>
  <c r="U20" i="1"/>
  <c r="U22" i="1"/>
  <c r="Z17" i="1"/>
  <c r="Z18" i="1"/>
  <c r="Z16" i="1"/>
  <c r="V17" i="1" l="1"/>
  <c r="X17" i="1"/>
  <c r="W12" i="1"/>
  <c r="W20" i="1"/>
  <c r="W21" i="1"/>
  <c r="Y16" i="1"/>
  <c r="W14" i="1"/>
  <c r="Y18" i="1"/>
  <c r="W17" i="1"/>
  <c r="W28" i="1"/>
  <c r="W18" i="1"/>
</calcChain>
</file>

<file path=xl/sharedStrings.xml><?xml version="1.0" encoding="utf-8"?>
<sst xmlns="http://schemas.openxmlformats.org/spreadsheetml/2006/main" count="287" uniqueCount="181">
  <si>
    <t>VEM</t>
  </si>
  <si>
    <t>DVE</t>
  </si>
  <si>
    <t>OEB</t>
  </si>
  <si>
    <t>MAD</t>
  </si>
  <si>
    <t>Prix</t>
  </si>
  <si>
    <t>TVEM</t>
  </si>
  <si>
    <t>Tableau des valeurs alimentaires</t>
  </si>
  <si>
    <t>Teneurs en gr par Kg</t>
  </si>
  <si>
    <t>ALIMENTS</t>
  </si>
  <si>
    <t>M.S.</t>
  </si>
  <si>
    <t>par</t>
  </si>
  <si>
    <t>Tonne</t>
  </si>
  <si>
    <t>Boni</t>
  </si>
  <si>
    <t>Perte</t>
  </si>
  <si>
    <t>tonne</t>
  </si>
  <si>
    <t>Tonnes 
manipilées
par
TVEM</t>
  </si>
  <si>
    <t>Unité</t>
  </si>
  <si>
    <t>T VEM</t>
  </si>
  <si>
    <t>Aliment</t>
  </si>
  <si>
    <t>N°</t>
  </si>
  <si>
    <t>Paille</t>
  </si>
  <si>
    <t>Foin</t>
  </si>
  <si>
    <t>Foin extensif</t>
  </si>
  <si>
    <t>Foin intensif</t>
  </si>
  <si>
    <t>Four.frais</t>
  </si>
  <si>
    <t>Ens Herbe bon</t>
  </si>
  <si>
    <t>Ens herbe préfané</t>
  </si>
  <si>
    <t>Ens maïs</t>
  </si>
  <si>
    <t>Ensilage</t>
  </si>
  <si>
    <t>pulpes sèches</t>
  </si>
  <si>
    <t>betteraves :</t>
  </si>
  <si>
    <t>Ens. Pulpes fraîches</t>
  </si>
  <si>
    <t>expellers</t>
  </si>
  <si>
    <t>schroot</t>
  </si>
  <si>
    <t>T</t>
  </si>
  <si>
    <t>T Ms</t>
  </si>
  <si>
    <t>Ajoute</t>
  </si>
  <si>
    <t>Comparaison</t>
  </si>
  <si>
    <t>Pellets luzerne</t>
  </si>
  <si>
    <t>Paille de froment</t>
  </si>
  <si>
    <t>Paille d'orge</t>
  </si>
  <si>
    <t>Paille d'avoine</t>
  </si>
  <si>
    <t>Paille de graminées</t>
  </si>
  <si>
    <t>Paille de pois</t>
  </si>
  <si>
    <t>Foin de luzerne</t>
  </si>
  <si>
    <t>Foin de trèfle</t>
  </si>
  <si>
    <t xml:space="preserve">Foin de fanes de pois </t>
  </si>
  <si>
    <t>Herbe de pâture (frais)</t>
  </si>
  <si>
    <t>Choux (frais)</t>
  </si>
  <si>
    <t>Ensilage de maïs - fourrage, trop humide</t>
  </si>
  <si>
    <t>Ensilage de maïs - prélaiteux, très humide</t>
  </si>
  <si>
    <t>Ensilage de maïs - laiteux, humide</t>
  </si>
  <si>
    <t>Ensilage de maïs - prépâteux, moyen</t>
  </si>
  <si>
    <t>Ensilage de maïs - pâteux, sec</t>
  </si>
  <si>
    <t>Ensilage de maïs - pâteux avancé</t>
  </si>
  <si>
    <t>Ensilage de maïs - vitreux</t>
  </si>
  <si>
    <t xml:space="preserve">Maïs grain humide </t>
  </si>
  <si>
    <t xml:space="preserve">Maïs épis broyés </t>
  </si>
  <si>
    <t>Fanes de pois</t>
  </si>
  <si>
    <t>Feuilles et collets de betteraves sucrières</t>
  </si>
  <si>
    <t>Feuilles betteraves</t>
  </si>
  <si>
    <t>Pellets de luzerne, + de 18 % MAT</t>
  </si>
  <si>
    <t>Pellets de luzerne, 16-18 % MAT</t>
  </si>
  <si>
    <t>Pellets de luzerne, 14-16 % MAT</t>
  </si>
  <si>
    <t>Pellets de luzerne, moins de 14 % MAT</t>
  </si>
  <si>
    <t>Pulpes sèches ordinaires</t>
  </si>
  <si>
    <t>Pulpes sèches mélassées</t>
  </si>
  <si>
    <t>Cossettes de betteraves</t>
  </si>
  <si>
    <t>Pellets de maïs pâteux</t>
  </si>
  <si>
    <t>Pulpes d'agrumes</t>
  </si>
  <si>
    <t>Flocons de pomme de  terre</t>
  </si>
  <si>
    <t>Drêches de whisky sèches</t>
  </si>
  <si>
    <t>PRODUITS DIVERS ENSILES</t>
  </si>
  <si>
    <t>Passées de betteraves (sirop)</t>
  </si>
  <si>
    <t>Passées de fruits (sirop)</t>
  </si>
  <si>
    <t>Passées de fruits (jus)</t>
  </si>
  <si>
    <t>Marcs de pommes (cidre)</t>
  </si>
  <si>
    <t>Betteraves sucrières (frais)</t>
  </si>
  <si>
    <t>Betteraves 3/4 sucrières (frais)</t>
  </si>
  <si>
    <t>Betteraves 1/2 sucrières (frais)</t>
  </si>
  <si>
    <t>Betteraves fourragères (frais)</t>
  </si>
  <si>
    <t>Pulpes (frais)</t>
  </si>
  <si>
    <t>Pulpes pressées (frais)</t>
  </si>
  <si>
    <t>Carottes (frais)</t>
  </si>
  <si>
    <t>Racines de witloof (frais)</t>
  </si>
  <si>
    <t>Pommes de terre (frais)</t>
  </si>
  <si>
    <t>Pommes (frais)</t>
  </si>
  <si>
    <t>Poires (frais)</t>
  </si>
  <si>
    <t>Radicelles de betteraves (ensilé)</t>
  </si>
  <si>
    <t>Pulpes de pommes de terre (ensilé)</t>
  </si>
  <si>
    <t>Drêches de brasserie (ensilé)</t>
  </si>
  <si>
    <t>Glutenfeed de maïs ensilé (ensilé)</t>
  </si>
  <si>
    <t>Pulpes humides (ensilé)</t>
  </si>
  <si>
    <t>Pulpes pressées (ensilé)</t>
  </si>
  <si>
    <t>Pulpes surpressées (ensilé)</t>
  </si>
  <si>
    <t>Expellers (3-9 % graisse) - arachide décortiqué</t>
  </si>
  <si>
    <t>Expellers (3-9 % graisse) - coton décortiqué</t>
  </si>
  <si>
    <t>Expellers (3-9 % graisse) - cocotier</t>
  </si>
  <si>
    <t>Expellers (3-9 % graisse) - colza</t>
  </si>
  <si>
    <t>Expellers (3-9 % graisse) - lin</t>
  </si>
  <si>
    <t>Expellers (3-9 % graisse) - palmiste</t>
  </si>
  <si>
    <t>Schroot (3 % graisse) - arachide décortiqué</t>
  </si>
  <si>
    <t>Schroot (3 % graisse) - coton décortiqué</t>
  </si>
  <si>
    <t>Schroot (3 % graisse) - cocotier</t>
  </si>
  <si>
    <t>Schroot (3 % graisse) - colza</t>
  </si>
  <si>
    <t>Schroot (3 % graisse) - lin</t>
  </si>
  <si>
    <t>Schroot (3 % graisse) - palmiste</t>
  </si>
  <si>
    <t>Schroot (3 % graisse) - soya</t>
  </si>
  <si>
    <t>Schroot (3 % graisse) - germes de maïs</t>
  </si>
  <si>
    <t>Val. alim. après cons.</t>
  </si>
  <si>
    <t>Val / TVEM</t>
  </si>
  <si>
    <t>PAILLES</t>
  </si>
  <si>
    <t>FOINS</t>
  </si>
  <si>
    <t>FOURRAGES FRAIS</t>
  </si>
  <si>
    <t>FOURRAGES ENSILES</t>
  </si>
  <si>
    <t>PRODUITS DESHYDRATES</t>
  </si>
  <si>
    <t>PRODUITS DIVERS FRAIS</t>
  </si>
  <si>
    <t>PRODUITS DIVERS SECS</t>
  </si>
  <si>
    <t>Son de froment</t>
  </si>
  <si>
    <t>Rebulet de froment</t>
  </si>
  <si>
    <t>Sucrapaille</t>
  </si>
  <si>
    <t>Mélasse</t>
  </si>
  <si>
    <t>Féveroles</t>
  </si>
  <si>
    <t>Son de maïs</t>
  </si>
  <si>
    <t>Glutenfeed de maïs</t>
  </si>
  <si>
    <t>Concentré - froment</t>
  </si>
  <si>
    <t>Concentré - orge</t>
  </si>
  <si>
    <t>Concentré - avoine - très bon</t>
  </si>
  <si>
    <t>Concentré - avoine - moyen</t>
  </si>
  <si>
    <t xml:space="preserve">Concentré - épeautre </t>
  </si>
  <si>
    <t>Concentré - triticale</t>
  </si>
  <si>
    <t>Concentré - maïs moulu</t>
  </si>
  <si>
    <t>Concentré - manioc farine</t>
  </si>
  <si>
    <t>Foin d'herbe - exploitation intensive - excellent</t>
  </si>
  <si>
    <t>Foin d'herbe - exploitation intensive - très bon</t>
  </si>
  <si>
    <t>Foin d'herbe - exploitation intensive - bon</t>
  </si>
  <si>
    <t>Foin d'herbe - exploitation intensive - satisfaisant</t>
  </si>
  <si>
    <t>Foin d'herbe - exploitation intensive - médiocre</t>
  </si>
  <si>
    <t>Foin d'herbe - exploitation intensive - très médiocre</t>
  </si>
  <si>
    <t xml:space="preserve">Foin d'herbe - exploitation extensive - excellent     </t>
  </si>
  <si>
    <t>Foin d'herbe - exploitation extensive - très bon</t>
  </si>
  <si>
    <t>Foin d'herbe - exploitation extensive - bon</t>
  </si>
  <si>
    <t>Foin d'herbe - exploitation extensive - satisfaisant</t>
  </si>
  <si>
    <t>Foin d'herbe - exploitation extensive - médiocre</t>
  </si>
  <si>
    <t>Foin d'herbe - exploitation extensive - très médiocre</t>
  </si>
  <si>
    <t>Ensilage d'herbe - bon - très humide</t>
  </si>
  <si>
    <t>Ensilage d'herbe - bon - humide</t>
  </si>
  <si>
    <t>Ensilage d'herbe - bon - légèrement préfané</t>
  </si>
  <si>
    <t>Ensilage d'herbe - bon - préfané</t>
  </si>
  <si>
    <t>Ensilage d'herbe - bon - bien préfané</t>
  </si>
  <si>
    <t>Ensilage d'herbe - bon - très sec</t>
  </si>
  <si>
    <t>Ensilage d'herbe - bon - trop sec</t>
  </si>
  <si>
    <t>Ensilage d'herbe - 45% MS - qualité excellent</t>
  </si>
  <si>
    <t>Ensilage d'herbe - 45% MS - très bon</t>
  </si>
  <si>
    <t>Ensilage d'herbe - 45% MS - bon</t>
  </si>
  <si>
    <t>Ensilage d'herbe - 45% MS - satisfaisant</t>
  </si>
  <si>
    <t>Ensilage d'herbe - 45% MS - médiocre</t>
  </si>
  <si>
    <t>Ensilage d'herbe - 45% MS - très médiocre</t>
  </si>
  <si>
    <t>Pertes calculées en %</t>
  </si>
  <si>
    <t>Boni / Mali</t>
  </si>
  <si>
    <t>Kgs manipulés</t>
  </si>
  <si>
    <t xml:space="preserve">Valeur urée </t>
  </si>
  <si>
    <t xml:space="preserve">Valeur VNP </t>
  </si>
  <si>
    <t xml:space="preserve">Valeur VP </t>
  </si>
  <si>
    <t xml:space="preserve">Mise à jour </t>
  </si>
  <si>
    <r>
      <rPr>
        <b/>
        <sz val="12"/>
        <rFont val="Arial"/>
        <family val="2"/>
      </rPr>
      <t>La feuille COMPARE</t>
    </r>
    <r>
      <rPr>
        <sz val="12"/>
        <rFont val="Arial"/>
        <family val="2"/>
      </rPr>
      <t xml:space="preserve">
C'est là qu'on remplit les informations nécessaires et qu'on obtient les résultats de comparaison.</t>
    </r>
  </si>
  <si>
    <r>
      <rPr>
        <b/>
        <sz val="12"/>
        <rFont val="Arial"/>
        <family val="2"/>
      </rPr>
      <t>La feuille TABFRANC</t>
    </r>
    <r>
      <rPr>
        <sz val="12"/>
        <rFont val="Arial"/>
        <family val="2"/>
      </rPr>
      <t xml:space="preserve">
C'est une liste d'aliment destinée à être consultée pour remplir la feuille COMPARE.</t>
    </r>
  </si>
  <si>
    <t>Le programme est composé de trois feuilles : 
1)  Les instructions
2)  Une liste d’aliments proposés = TABFRANC
3)  Le tableur de résultats = COMPARE
Pour choisir une feuille, cliquez sur l’onglet situé dans le coin en bas à gauche de votre écran.</t>
  </si>
  <si>
    <t>CONCENTRES - CEREALES</t>
  </si>
  <si>
    <t>CONCENTRES - TOURTEAUX</t>
  </si>
  <si>
    <t>Pertes calc. en %</t>
  </si>
  <si>
    <t>Les valeurs ont été mise à jour il y a plus de 60 jours.
Veuillez télécharger une version plus récente de ce classeur sur www.awenet.be</t>
  </si>
  <si>
    <t>Les valeurs ont été mises à jour il y a moins de 60 jours.
Vous pouvez continuer à utiliser ce classeur.</t>
  </si>
  <si>
    <t>COMPARAISON DES ALIMENTS</t>
  </si>
  <si>
    <t>COMPARAISON DES ALIMENTS
MODE D'EMPLOI</t>
  </si>
  <si>
    <t>Date du jour :</t>
  </si>
  <si>
    <t>Mise à jour :</t>
  </si>
  <si>
    <r>
      <rPr>
        <b/>
        <sz val="12"/>
        <rFont val="Arial"/>
        <family val="2"/>
      </rPr>
      <t>REMARQUES :</t>
    </r>
    <r>
      <rPr>
        <sz val="12"/>
        <rFont val="Arial"/>
        <family val="2"/>
      </rPr>
      <t xml:space="preserve">
1)  Dans COMPARE, vous pouvez modifier les valeurs proposées par défaut pour "Pertes calculées en %" et "MS" (colonnes D et E) en remplissant les champs en blanc. Si vous les laissez vides, ce sont les valeurs par défauts qui sont utilisées.
2)  Vous avez aussi la possibilité de comparer des aliments s'ils ne sont pas dans TABFRANC (COMPARE - colonne A - Ajoutés). Pour cela vous devez connaître les valeurs alimentaires renseignées par le fabricant.</t>
    </r>
  </si>
  <si>
    <t>Ce classeur vous permet de choisir les aliments les plus intéressants du moment !
Il jauge les aliments (leur prix et leur kg de VEM) par rapport à un prix de référence de l'énergie. Ces valeurs financières sont régulièrement mises à jour et basées sur les recherches hollandaises (Livestock Research Wageningen UR).</t>
  </si>
  <si>
    <t>Prix
proposé
€/T</t>
  </si>
  <si>
    <r>
      <t xml:space="preserve">ETAPES A SUIVRE :
</t>
    </r>
    <r>
      <rPr>
        <sz val="12"/>
        <rFont val="Arial"/>
        <family val="2"/>
      </rPr>
      <t>1)  Vérifier dans TABFRANC que les valeurs sont à jour (cadre vert), ou au contraire si une version plus
      récente du classeur doit être téléchargée sur www.awenet.be (cadre rouge).</t>
    </r>
    <r>
      <rPr>
        <b/>
        <sz val="12"/>
        <rFont val="Arial"/>
        <family val="2"/>
      </rPr>
      <t xml:space="preserve">
</t>
    </r>
    <r>
      <rPr>
        <sz val="12"/>
        <rFont val="Arial"/>
        <family val="2"/>
      </rPr>
      <t xml:space="preserve">2)  Choisir le N° d'un aliment dont on veut connaitre la valeur en consultant TABFRANC.
3)  Inscrire ce N° dans COMPARE (colonne A).
4)  Indiquer le prix qu'on vous propose pour cet aliment dans COMPARE (colonne K).
</t>
    </r>
    <r>
      <rPr>
        <sz val="12"/>
        <rFont val="Arial Black"/>
        <family val="2"/>
      </rPr>
      <t>►►►</t>
    </r>
    <r>
      <rPr>
        <sz val="12"/>
        <rFont val="Arial"/>
        <family val="2"/>
      </rPr>
      <t xml:space="preserve"> Si le Boni / Mali (colonne L) est positif (vert) alors l'aliment est intéressant par rapport au prix de référence du moment de la tonne VEM. S'il est négatif (rouge) mieux vaut trouver un aliment comparable dont la valeur sera plus intéressante.
5)  Inscrire le N° d'un autre aliment dans COMPARE (colonne A, en dessous du 1er aliment).
6)  Vérifier que les aliments 1 et 2 sont </t>
    </r>
    <r>
      <rPr>
        <b/>
        <sz val="12"/>
        <rFont val="Arial"/>
        <family val="2"/>
      </rPr>
      <t>comparables entre-eux du point de vue du rapport VEM / DVE</t>
    </r>
    <r>
      <rPr>
        <sz val="12"/>
        <rFont val="Arial"/>
        <family val="2"/>
      </rPr>
      <t xml:space="preserve">.
        </t>
    </r>
    <r>
      <rPr>
        <i/>
        <sz val="12"/>
        <rFont val="Arial"/>
        <family val="2"/>
      </rPr>
      <t xml:space="preserve">  Par exemple pour le premier aliment, si le signal est vert dans la colonne </t>
    </r>
    <r>
      <rPr>
        <i/>
        <u/>
        <sz val="12"/>
        <rFont val="Arial"/>
        <family val="2"/>
      </rPr>
      <t>comparaison 2</t>
    </r>
    <r>
      <rPr>
        <i/>
        <sz val="12"/>
        <rFont val="Arial"/>
        <family val="2"/>
      </rPr>
      <t>, 
          alors il peut être comparé au deuxième aliment.</t>
    </r>
    <r>
      <rPr>
        <b/>
        <i/>
        <sz val="12"/>
        <rFont val="Arial"/>
        <family val="2"/>
      </rPr>
      <t xml:space="preserve">
</t>
    </r>
    <r>
      <rPr>
        <i/>
        <sz val="12"/>
        <rFont val="Arial"/>
        <family val="2"/>
      </rPr>
      <t xml:space="preserve">          Par exemple pour le troisième aliment, si le signal est rouge dans la colonne </t>
    </r>
    <r>
      <rPr>
        <i/>
        <u/>
        <sz val="12"/>
        <rFont val="Arial"/>
        <family val="2"/>
      </rPr>
      <t>comparaison 1</t>
    </r>
    <r>
      <rPr>
        <i/>
        <sz val="12"/>
        <rFont val="Arial"/>
        <family val="2"/>
      </rPr>
      <t xml:space="preserve">,
          alors il ne peut pas être comparé au premier aliment.
</t>
    </r>
    <r>
      <rPr>
        <sz val="12"/>
        <rFont val="Arial"/>
        <family val="2"/>
      </rPr>
      <t>7)  Indiquer le prix qu'on vous propose pour cet aliment dans COMPARE (colonne K).
►►► L'aliment avec le Boni / Mali le plus grand est le plus intéressant (plus une valeur verte est grande, plus l'aliment est intéressant à acheter, plus une valeur rouge est négative, moins l'aliment est intéressant à acheter).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</si>
</sst>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0"/>
      <name val="Arial"/>
    </font>
    <font>
      <sz val="10"/>
      <name val="Arial"/>
      <family val="2"/>
    </font>
    <font>
      <b/>
      <sz val="10"/>
      <name val="Arial"/>
      <family val="2"/>
    </font>
    <font>
      <b/>
      <sz val="10"/>
      <color indexed="14"/>
      <name val="Arial"/>
      <family val="2"/>
    </font>
    <font>
      <sz val="12"/>
      <name val="Arial"/>
      <family val="2"/>
    </font>
    <font>
      <b/>
      <sz val="12"/>
      <name val="Arial"/>
      <family val="2"/>
    </font>
    <font>
      <sz val="12"/>
      <color indexed="8"/>
      <name val="Arial"/>
      <family val="2"/>
    </font>
    <font>
      <sz val="10"/>
      <name val="Arial"/>
      <family val="2"/>
    </font>
    <font>
      <b/>
      <sz val="10"/>
      <color indexed="8"/>
      <name val="Arial"/>
      <family val="2"/>
    </font>
    <font>
      <sz val="10"/>
      <color indexed="8"/>
      <name val="Arial"/>
      <family val="2"/>
    </font>
    <font>
      <b/>
      <sz val="11"/>
      <name val="Arial"/>
      <family val="2"/>
    </font>
    <font>
      <i/>
      <sz val="12"/>
      <name val="Arial"/>
      <family val="2"/>
    </font>
    <font>
      <b/>
      <i/>
      <sz val="12"/>
      <name val="Arial"/>
      <family val="2"/>
    </font>
    <font>
      <i/>
      <u/>
      <sz val="12"/>
      <name val="Arial"/>
      <family val="2"/>
    </font>
    <font>
      <b/>
      <sz val="14"/>
      <name val="Arial"/>
      <family val="2"/>
    </font>
    <font>
      <b/>
      <sz val="18"/>
      <name val="Arial"/>
      <family val="2"/>
    </font>
    <font>
      <b/>
      <sz val="22"/>
      <name val="Arial"/>
      <family val="2"/>
    </font>
    <font>
      <sz val="12"/>
      <name val="Arial Black"/>
      <family val="2"/>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85">
    <border>
      <left/>
      <right/>
      <top/>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ck">
        <color indexed="64"/>
      </right>
      <top style="thick">
        <color indexed="64"/>
      </top>
      <bottom/>
      <diagonal/>
    </border>
    <border>
      <left/>
      <right style="medium">
        <color indexed="64"/>
      </right>
      <top style="medium">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bottom/>
      <diagonal/>
    </border>
    <border>
      <left/>
      <right style="medium">
        <color indexed="64"/>
      </right>
      <top/>
      <bottom/>
      <diagonal/>
    </border>
    <border>
      <left/>
      <right style="thin">
        <color indexed="64"/>
      </right>
      <top/>
      <bottom/>
      <diagonal/>
    </border>
    <border>
      <left/>
      <right style="thick">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cellStyleXfs>
  <cellXfs count="269">
    <xf numFmtId="0" fontId="0" fillId="0" borderId="0" xfId="0"/>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0" fontId="9" fillId="0" borderId="3" xfId="0" applyNumberFormat="1" applyFont="1" applyBorder="1" applyAlignment="1" applyProtection="1">
      <alignment horizontal="center" vertical="center"/>
      <protection locked="0"/>
    </xf>
    <xf numFmtId="4" fontId="7" fillId="0" borderId="4" xfId="0" applyNumberFormat="1" applyFont="1" applyBorder="1" applyAlignment="1" applyProtection="1">
      <alignment horizontal="center" vertical="center"/>
      <protection locked="0"/>
    </xf>
    <xf numFmtId="4" fontId="7" fillId="0" borderId="5" xfId="0" applyNumberFormat="1" applyFont="1" applyBorder="1" applyAlignment="1" applyProtection="1">
      <alignment horizontal="center" vertical="center"/>
      <protection locked="0"/>
    </xf>
    <xf numFmtId="4" fontId="7" fillId="0" borderId="6" xfId="0" applyNumberFormat="1" applyFont="1" applyBorder="1" applyAlignment="1" applyProtection="1">
      <alignment horizontal="center" vertical="center"/>
      <protection locked="0"/>
    </xf>
    <xf numFmtId="0" fontId="4" fillId="0" borderId="0" xfId="0" applyFont="1"/>
    <xf numFmtId="0" fontId="4" fillId="0" borderId="0" xfId="0" applyFont="1" applyAlignment="1">
      <alignment horizontal="left" indent="4"/>
    </xf>
    <xf numFmtId="0" fontId="5" fillId="0" borderId="0" xfId="0" applyFont="1" applyAlignment="1">
      <alignment horizontal="center"/>
    </xf>
    <xf numFmtId="0" fontId="4" fillId="0" borderId="7" xfId="0" applyFont="1" applyBorder="1" applyAlignment="1">
      <alignment wrapText="1"/>
    </xf>
    <xf numFmtId="0" fontId="5" fillId="0" borderId="7" xfId="0" applyFont="1" applyBorder="1" applyAlignment="1">
      <alignment horizontal="center" wrapText="1"/>
    </xf>
    <xf numFmtId="0" fontId="2" fillId="0" borderId="0" xfId="0" applyNumberFormat="1" applyFont="1" applyAlignment="1" applyProtection="1">
      <alignment horizontal="center"/>
      <protection hidden="1"/>
    </xf>
    <xf numFmtId="0" fontId="7" fillId="0" borderId="0" xfId="0" applyNumberFormat="1" applyFont="1" applyProtection="1">
      <protection hidden="1"/>
    </xf>
    <xf numFmtId="0" fontId="4" fillId="0" borderId="8" xfId="0" applyNumberFormat="1" applyFont="1" applyBorder="1" applyAlignment="1" applyProtection="1">
      <alignment horizontal="right"/>
      <protection hidden="1"/>
    </xf>
    <xf numFmtId="4" fontId="7" fillId="0" borderId="0" xfId="0" applyNumberFormat="1" applyFont="1" applyProtection="1">
      <protection hidden="1"/>
    </xf>
    <xf numFmtId="3" fontId="7" fillId="0" borderId="0" xfId="0" applyNumberFormat="1" applyFont="1" applyAlignment="1" applyProtection="1">
      <alignment horizontal="center"/>
      <protection hidden="1"/>
    </xf>
    <xf numFmtId="0" fontId="2" fillId="0" borderId="9" xfId="0" applyNumberFormat="1" applyFont="1" applyBorder="1" applyAlignment="1" applyProtection="1">
      <alignment vertical="center"/>
      <protection hidden="1"/>
    </xf>
    <xf numFmtId="0" fontId="4" fillId="0" borderId="10" xfId="0" applyNumberFormat="1" applyFont="1" applyBorder="1" applyAlignment="1" applyProtection="1">
      <alignment horizontal="right"/>
      <protection hidden="1"/>
    </xf>
    <xf numFmtId="4" fontId="8" fillId="0" borderId="0" xfId="0" applyNumberFormat="1" applyFont="1" applyAlignment="1" applyProtection="1">
      <alignment horizontal="centerContinuous" vertical="center"/>
      <protection hidden="1"/>
    </xf>
    <xf numFmtId="3" fontId="8" fillId="0" borderId="0" xfId="0" applyNumberFormat="1" applyFont="1" applyAlignment="1" applyProtection="1">
      <alignment horizontal="centerContinuous" vertical="center"/>
      <protection hidden="1"/>
    </xf>
    <xf numFmtId="0" fontId="2" fillId="0" borderId="0" xfId="0" applyNumberFormat="1" applyFont="1" applyAlignment="1" applyProtection="1">
      <alignment vertical="center"/>
      <protection hidden="1"/>
    </xf>
    <xf numFmtId="14" fontId="7" fillId="0" borderId="0" xfId="0" applyNumberFormat="1" applyFont="1" applyAlignment="1" applyProtection="1">
      <alignment vertical="center"/>
      <protection hidden="1"/>
    </xf>
    <xf numFmtId="0" fontId="2" fillId="0" borderId="0" xfId="0" applyNumberFormat="1" applyFont="1" applyAlignment="1" applyProtection="1">
      <alignment horizontal="center" vertical="center"/>
      <protection hidden="1"/>
    </xf>
    <xf numFmtId="0" fontId="4" fillId="0" borderId="0" xfId="0" applyNumberFormat="1" applyFont="1" applyBorder="1" applyAlignment="1" applyProtection="1">
      <alignment horizontal="center"/>
      <protection hidden="1"/>
    </xf>
    <xf numFmtId="14" fontId="6" fillId="0" borderId="0" xfId="0" applyNumberFormat="1" applyFont="1" applyBorder="1" applyAlignment="1" applyProtection="1">
      <alignment horizontal="center" vertical="center"/>
      <protection hidden="1"/>
    </xf>
    <xf numFmtId="0" fontId="5" fillId="0" borderId="0" xfId="0" applyNumberFormat="1" applyFont="1" applyBorder="1" applyAlignment="1" applyProtection="1">
      <alignment horizontal="center" vertical="center" wrapText="1"/>
      <protection hidden="1"/>
    </xf>
    <xf numFmtId="0" fontId="2" fillId="0" borderId="0" xfId="0" applyNumberFormat="1" applyFont="1" applyBorder="1" applyAlignment="1" applyProtection="1">
      <alignment horizontal="center" vertical="center" wrapText="1"/>
      <protection hidden="1"/>
    </xf>
    <xf numFmtId="0" fontId="7" fillId="0" borderId="0" xfId="0" applyNumberFormat="1" applyFont="1" applyAlignment="1" applyProtection="1">
      <alignment vertical="center"/>
      <protection hidden="1"/>
    </xf>
    <xf numFmtId="0" fontId="7" fillId="0" borderId="0" xfId="0" applyNumberFormat="1" applyFont="1" applyAlignment="1" applyProtection="1">
      <alignment horizontal="center" vertical="center"/>
      <protection hidden="1"/>
    </xf>
    <xf numFmtId="4" fontId="8" fillId="0" borderId="11" xfId="0" applyNumberFormat="1" applyFont="1" applyBorder="1" applyAlignment="1" applyProtection="1">
      <alignment horizontal="center" vertical="center"/>
      <protection hidden="1"/>
    </xf>
    <xf numFmtId="4" fontId="9" fillId="0" borderId="12" xfId="0" applyNumberFormat="1" applyFont="1" applyBorder="1" applyAlignment="1" applyProtection="1">
      <alignment horizontal="center" vertical="center"/>
      <protection hidden="1"/>
    </xf>
    <xf numFmtId="3" fontId="9" fillId="0" borderId="13" xfId="0" applyNumberFormat="1" applyFont="1" applyBorder="1" applyAlignment="1" applyProtection="1">
      <alignment horizontal="center" vertical="center"/>
      <protection hidden="1"/>
    </xf>
    <xf numFmtId="3" fontId="9" fillId="0" borderId="14" xfId="0" applyNumberFormat="1" applyFont="1" applyBorder="1" applyAlignment="1" applyProtection="1">
      <alignment horizontal="center" vertical="center"/>
      <protection hidden="1"/>
    </xf>
    <xf numFmtId="0" fontId="7" fillId="0" borderId="0" xfId="0" applyNumberFormat="1" applyFont="1" applyAlignment="1" applyProtection="1">
      <alignment horizontal="left" vertical="center"/>
      <protection hidden="1"/>
    </xf>
    <xf numFmtId="4" fontId="8" fillId="0" borderId="15" xfId="0" applyNumberFormat="1" applyFont="1" applyBorder="1" applyAlignment="1" applyProtection="1">
      <alignment horizontal="center" vertical="center"/>
      <protection hidden="1"/>
    </xf>
    <xf numFmtId="4" fontId="9" fillId="0" borderId="16"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4" fontId="8" fillId="0" borderId="18" xfId="0" applyNumberFormat="1" applyFont="1" applyBorder="1" applyAlignment="1" applyProtection="1">
      <alignment horizontal="center" vertical="center"/>
      <protection hidden="1"/>
    </xf>
    <xf numFmtId="4" fontId="9" fillId="0" borderId="19" xfId="0" applyNumberFormat="1" applyFont="1" applyBorder="1" applyAlignment="1" applyProtection="1">
      <alignment horizontal="center" vertical="center"/>
      <protection hidden="1"/>
    </xf>
    <xf numFmtId="3" fontId="9" fillId="0" borderId="20" xfId="0" applyNumberFormat="1" applyFont="1" applyBorder="1" applyAlignment="1" applyProtection="1">
      <alignment horizontal="center" vertical="center"/>
      <protection hidden="1"/>
    </xf>
    <xf numFmtId="4" fontId="9" fillId="0" borderId="15" xfId="0" applyNumberFormat="1" applyFont="1" applyBorder="1" applyAlignment="1" applyProtection="1">
      <alignment horizontal="centerContinuous" vertical="center"/>
      <protection hidden="1"/>
    </xf>
    <xf numFmtId="4" fontId="9" fillId="0" borderId="16" xfId="0" applyNumberFormat="1" applyFont="1" applyBorder="1" applyAlignment="1" applyProtection="1">
      <alignment horizontal="centerContinuous" vertical="center"/>
      <protection hidden="1"/>
    </xf>
    <xf numFmtId="3" fontId="9" fillId="0" borderId="0" xfId="0" applyNumberFormat="1" applyFont="1" applyBorder="1" applyAlignment="1" applyProtection="1">
      <alignment horizontal="centerContinuous" vertical="center"/>
      <protection hidden="1"/>
    </xf>
    <xf numFmtId="0" fontId="9" fillId="0" borderId="21" xfId="0" applyNumberFormat="1" applyFont="1" applyBorder="1" applyAlignment="1" applyProtection="1">
      <alignment horizontal="left"/>
      <protection hidden="1"/>
    </xf>
    <xf numFmtId="3" fontId="9" fillId="0" borderId="17" xfId="0" applyNumberFormat="1" applyFont="1" applyBorder="1" applyAlignment="1" applyProtection="1">
      <alignment horizontal="center"/>
      <protection hidden="1"/>
    </xf>
    <xf numFmtId="4" fontId="9" fillId="0" borderId="15" xfId="0" applyNumberFormat="1" applyFont="1" applyBorder="1" applyAlignment="1" applyProtection="1">
      <alignment horizontal="center"/>
      <protection hidden="1"/>
    </xf>
    <xf numFmtId="4" fontId="9" fillId="0" borderId="16" xfId="0" applyNumberFormat="1" applyFont="1" applyBorder="1" applyAlignment="1" applyProtection="1">
      <alignment horizontal="center"/>
      <protection hidden="1"/>
    </xf>
    <xf numFmtId="4" fontId="8" fillId="0" borderId="15" xfId="0" applyNumberFormat="1" applyFont="1" applyBorder="1" applyAlignment="1" applyProtection="1">
      <alignment horizontal="centerContinuous" vertical="center"/>
      <protection hidden="1"/>
    </xf>
    <xf numFmtId="4" fontId="8" fillId="0" borderId="16" xfId="0" applyNumberFormat="1" applyFont="1" applyBorder="1" applyAlignment="1" applyProtection="1">
      <alignment horizontal="centerContinuous" vertical="center"/>
      <protection hidden="1"/>
    </xf>
    <xf numFmtId="3" fontId="8" fillId="0" borderId="0" xfId="0" applyNumberFormat="1" applyFont="1" applyBorder="1" applyAlignment="1" applyProtection="1">
      <alignment horizontal="centerContinuous" vertical="center"/>
      <protection hidden="1"/>
    </xf>
    <xf numFmtId="4" fontId="9" fillId="0" borderId="15" xfId="0" applyNumberFormat="1" applyFont="1" applyBorder="1" applyAlignment="1" applyProtection="1">
      <alignment horizontal="centerContinuous"/>
      <protection hidden="1"/>
    </xf>
    <xf numFmtId="4" fontId="9" fillId="0" borderId="16" xfId="0" applyNumberFormat="1" applyFont="1" applyBorder="1" applyAlignment="1" applyProtection="1">
      <alignment horizontal="centerContinuous"/>
      <protection hidden="1"/>
    </xf>
    <xf numFmtId="3" fontId="9" fillId="0" borderId="0" xfId="0" applyNumberFormat="1" applyFont="1" applyBorder="1" applyAlignment="1" applyProtection="1">
      <alignment horizontal="centerContinuous"/>
      <protection hidden="1"/>
    </xf>
    <xf numFmtId="4" fontId="9" fillId="0" borderId="15" xfId="0" applyNumberFormat="1" applyFont="1" applyBorder="1" applyProtection="1">
      <protection hidden="1"/>
    </xf>
    <xf numFmtId="4" fontId="9" fillId="0" borderId="16" xfId="0" applyNumberFormat="1" applyFont="1" applyBorder="1" applyProtection="1">
      <protection hidden="1"/>
    </xf>
    <xf numFmtId="3" fontId="9" fillId="0" borderId="0" xfId="0" applyNumberFormat="1" applyFont="1" applyBorder="1" applyAlignment="1" applyProtection="1">
      <alignment horizontal="center"/>
      <protection hidden="1"/>
    </xf>
    <xf numFmtId="4" fontId="9" fillId="0" borderId="22" xfId="0" applyNumberFormat="1" applyFont="1" applyBorder="1" applyAlignment="1" applyProtection="1">
      <alignment horizontal="center" vertical="top"/>
      <protection hidden="1"/>
    </xf>
    <xf numFmtId="4" fontId="9" fillId="0" borderId="23" xfId="0" applyNumberFormat="1" applyFont="1" applyBorder="1" applyAlignment="1" applyProtection="1">
      <alignment horizontal="center" vertical="top"/>
      <protection hidden="1"/>
    </xf>
    <xf numFmtId="4" fontId="9" fillId="0" borderId="24" xfId="0" applyNumberFormat="1" applyFont="1" applyBorder="1" applyAlignment="1" applyProtection="1">
      <alignment horizontal="center"/>
      <protection hidden="1"/>
    </xf>
    <xf numFmtId="0" fontId="7" fillId="0" borderId="0" xfId="0" applyNumberFormat="1" applyFont="1" applyAlignment="1" applyProtection="1">
      <alignment vertical="top"/>
      <protection hidden="1"/>
    </xf>
    <xf numFmtId="4" fontId="9" fillId="0" borderId="23" xfId="0" applyNumberFormat="1" applyFont="1" applyBorder="1" applyAlignment="1" applyProtection="1">
      <alignment horizontal="center"/>
      <protection hidden="1"/>
    </xf>
    <xf numFmtId="0" fontId="7" fillId="0" borderId="0" xfId="0" applyNumberFormat="1" applyFont="1" applyAlignment="1" applyProtection="1">
      <alignment horizontal="center"/>
      <protection hidden="1"/>
    </xf>
    <xf numFmtId="0" fontId="2" fillId="2" borderId="25" xfId="0" applyFont="1" applyFill="1" applyBorder="1" applyAlignment="1" applyProtection="1">
      <alignment horizontal="center" vertical="center"/>
      <protection hidden="1"/>
    </xf>
    <xf numFmtId="0" fontId="7" fillId="0" borderId="0" xfId="0" applyFont="1" applyBorder="1" applyProtection="1">
      <protection hidden="1"/>
    </xf>
    <xf numFmtId="0" fontId="7" fillId="3" borderId="26" xfId="0" applyFont="1" applyFill="1" applyBorder="1" applyAlignment="1" applyProtection="1">
      <alignment horizontal="center"/>
      <protection hidden="1"/>
    </xf>
    <xf numFmtId="0" fontId="7" fillId="3" borderId="27" xfId="0" applyFont="1" applyFill="1" applyBorder="1" applyAlignment="1" applyProtection="1">
      <alignment horizontal="center"/>
      <protection hidden="1"/>
    </xf>
    <xf numFmtId="0" fontId="7" fillId="3" borderId="28" xfId="0" applyFont="1" applyFill="1" applyBorder="1" applyAlignment="1" applyProtection="1">
      <alignment horizontal="center"/>
      <protection hidden="1"/>
    </xf>
    <xf numFmtId="0" fontId="7" fillId="0" borderId="0" xfId="0" applyFont="1" applyFill="1" applyBorder="1" applyProtection="1">
      <protection hidden="1"/>
    </xf>
    <xf numFmtId="0" fontId="9" fillId="2" borderId="29" xfId="0" applyNumberFormat="1" applyFont="1" applyFill="1" applyBorder="1" applyAlignment="1" applyProtection="1">
      <alignment horizontal="center" vertical="center"/>
      <protection hidden="1"/>
    </xf>
    <xf numFmtId="3" fontId="9" fillId="2" borderId="29" xfId="0" applyNumberFormat="1" applyFont="1" applyFill="1" applyBorder="1" applyAlignment="1" applyProtection="1">
      <alignment horizontal="center" vertical="center"/>
      <protection hidden="1"/>
    </xf>
    <xf numFmtId="4" fontId="7" fillId="2" borderId="30" xfId="0" applyNumberFormat="1" applyFont="1" applyFill="1" applyBorder="1" applyAlignment="1" applyProtection="1">
      <alignment horizontal="center" vertical="center"/>
      <protection hidden="1"/>
    </xf>
    <xf numFmtId="4" fontId="7" fillId="2" borderId="31" xfId="0" applyNumberFormat="1" applyFont="1" applyFill="1" applyBorder="1" applyAlignment="1" applyProtection="1">
      <alignment horizontal="center" vertical="center"/>
      <protection hidden="1"/>
    </xf>
    <xf numFmtId="4" fontId="7" fillId="2" borderId="25" xfId="0" applyNumberFormat="1" applyFont="1" applyFill="1" applyBorder="1" applyAlignment="1" applyProtection="1">
      <alignment horizontal="center"/>
      <protection hidden="1"/>
    </xf>
    <xf numFmtId="4" fontId="7" fillId="2" borderId="32" xfId="0" applyNumberFormat="1" applyFont="1" applyFill="1" applyBorder="1" applyAlignment="1" applyProtection="1">
      <alignment horizontal="center"/>
      <protection hidden="1"/>
    </xf>
    <xf numFmtId="0" fontId="7" fillId="0" borderId="30" xfId="0" applyFont="1" applyFill="1" applyBorder="1" applyProtection="1">
      <protection hidden="1"/>
    </xf>
    <xf numFmtId="4" fontId="7" fillId="0" borderId="0" xfId="0" applyNumberFormat="1" applyFont="1" applyBorder="1" applyProtection="1">
      <protection hidden="1"/>
    </xf>
    <xf numFmtId="0" fontId="7" fillId="2" borderId="20"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2" borderId="34" xfId="0" applyFont="1" applyFill="1" applyBorder="1" applyAlignment="1" applyProtection="1">
      <alignment horizontal="center" vertical="center"/>
      <protection hidden="1"/>
    </xf>
    <xf numFmtId="3" fontId="7" fillId="2" borderId="25" xfId="0" applyNumberFormat="1" applyFont="1" applyFill="1" applyBorder="1" applyAlignment="1" applyProtection="1">
      <alignment horizontal="center" vertical="center"/>
      <protection hidden="1"/>
    </xf>
    <xf numFmtId="3" fontId="7" fillId="2" borderId="35" xfId="0" applyNumberFormat="1" applyFont="1" applyFill="1" applyBorder="1" applyAlignment="1" applyProtection="1">
      <alignment horizontal="center" vertical="center"/>
      <protection hidden="1"/>
    </xf>
    <xf numFmtId="4" fontId="7" fillId="2" borderId="36" xfId="0" applyNumberFormat="1" applyFont="1" applyFill="1" applyBorder="1" applyAlignment="1" applyProtection="1">
      <alignment horizontal="center" vertical="center"/>
      <protection hidden="1"/>
    </xf>
    <xf numFmtId="4" fontId="7" fillId="2" borderId="37" xfId="0" applyNumberFormat="1" applyFont="1" applyFill="1" applyBorder="1" applyAlignment="1" applyProtection="1">
      <alignment horizontal="center"/>
      <protection hidden="1"/>
    </xf>
    <xf numFmtId="4" fontId="7" fillId="2" borderId="35" xfId="0" applyNumberFormat="1" applyFont="1" applyFill="1" applyBorder="1" applyAlignment="1" applyProtection="1">
      <alignment horizontal="center"/>
      <protection hidden="1"/>
    </xf>
    <xf numFmtId="0" fontId="7" fillId="0" borderId="38" xfId="0" applyFont="1" applyFill="1" applyBorder="1" applyProtection="1">
      <protection hidden="1"/>
    </xf>
    <xf numFmtId="3" fontId="7" fillId="0" borderId="0" xfId="0" applyNumberFormat="1" applyFont="1" applyBorder="1" applyProtection="1">
      <protection hidden="1"/>
    </xf>
    <xf numFmtId="0" fontId="7" fillId="2" borderId="39" xfId="0" applyFont="1" applyFill="1" applyBorder="1" applyAlignment="1" applyProtection="1">
      <alignment horizontal="center" vertical="center"/>
      <protection hidden="1"/>
    </xf>
    <xf numFmtId="4" fontId="7" fillId="2" borderId="38" xfId="0" applyNumberFormat="1" applyFont="1" applyFill="1" applyBorder="1" applyAlignment="1" applyProtection="1">
      <alignment horizontal="center" vertical="center"/>
      <protection hidden="1"/>
    </xf>
    <xf numFmtId="4" fontId="7" fillId="2" borderId="40" xfId="0" applyNumberFormat="1"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42" xfId="0" applyFont="1" applyFill="1" applyBorder="1" applyAlignment="1" applyProtection="1">
      <alignment horizontal="center" vertical="center"/>
      <protection hidden="1"/>
    </xf>
    <xf numFmtId="3" fontId="7" fillId="2" borderId="27" xfId="0" applyNumberFormat="1"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protection hidden="1"/>
    </xf>
    <xf numFmtId="3" fontId="7" fillId="2" borderId="28" xfId="0" applyNumberFormat="1" applyFont="1" applyFill="1" applyBorder="1" applyAlignment="1" applyProtection="1">
      <alignment horizontal="center" vertical="center"/>
      <protection hidden="1"/>
    </xf>
    <xf numFmtId="4" fontId="7" fillId="2" borderId="26" xfId="0" applyNumberFormat="1" applyFont="1" applyFill="1" applyBorder="1" applyAlignment="1" applyProtection="1">
      <alignment horizontal="center" vertical="center"/>
      <protection hidden="1"/>
    </xf>
    <xf numFmtId="4" fontId="7" fillId="2" borderId="27" xfId="0" applyNumberFormat="1" applyFont="1" applyFill="1" applyBorder="1" applyAlignment="1" applyProtection="1">
      <alignment horizontal="center" vertical="center"/>
      <protection hidden="1"/>
    </xf>
    <xf numFmtId="4" fontId="3" fillId="2" borderId="27" xfId="0" applyNumberFormat="1" applyFont="1" applyFill="1" applyBorder="1" applyAlignment="1" applyProtection="1">
      <alignment horizontal="center"/>
      <protection hidden="1"/>
    </xf>
    <xf numFmtId="4" fontId="7" fillId="2" borderId="28" xfId="0" applyNumberFormat="1" applyFont="1" applyFill="1" applyBorder="1" applyAlignment="1" applyProtection="1">
      <alignment horizontal="center"/>
      <protection hidden="1"/>
    </xf>
    <xf numFmtId="0" fontId="7" fillId="0" borderId="26" xfId="0" applyFont="1" applyFill="1" applyBorder="1" applyProtection="1">
      <protection hidden="1"/>
    </xf>
    <xf numFmtId="0" fontId="7" fillId="2" borderId="40" xfId="0" applyFont="1" applyFill="1" applyBorder="1" applyAlignment="1" applyProtection="1">
      <alignment horizontal="center" vertical="center"/>
      <protection hidden="1"/>
    </xf>
    <xf numFmtId="3" fontId="7" fillId="2" borderId="40" xfId="0" applyNumberFormat="1" applyFont="1" applyFill="1" applyBorder="1" applyAlignment="1" applyProtection="1">
      <alignment horizontal="center" vertical="center"/>
      <protection hidden="1"/>
    </xf>
    <xf numFmtId="4" fontId="7" fillId="2" borderId="43" xfId="0" applyNumberFormat="1" applyFont="1" applyFill="1" applyBorder="1" applyAlignment="1" applyProtection="1">
      <alignment horizontal="center" vertical="center"/>
      <protection hidden="1"/>
    </xf>
    <xf numFmtId="4" fontId="7" fillId="2" borderId="39" xfId="0" applyNumberFormat="1" applyFont="1" applyFill="1" applyBorder="1" applyAlignment="1" applyProtection="1">
      <alignment horizontal="center"/>
      <protection hidden="1"/>
    </xf>
    <xf numFmtId="4" fontId="7" fillId="2" borderId="44" xfId="0" applyNumberFormat="1" applyFont="1" applyFill="1" applyBorder="1" applyAlignment="1" applyProtection="1">
      <alignment horizontal="center" vertical="center"/>
      <protection hidden="1"/>
    </xf>
    <xf numFmtId="4" fontId="7" fillId="2" borderId="45" xfId="0" applyNumberFormat="1" applyFont="1" applyFill="1" applyBorder="1" applyAlignment="1" applyProtection="1">
      <alignment horizontal="center" vertical="center"/>
      <protection hidden="1"/>
    </xf>
    <xf numFmtId="4" fontId="7" fillId="2" borderId="46" xfId="0" applyNumberFormat="1" applyFont="1" applyFill="1" applyBorder="1" applyAlignment="1" applyProtection="1">
      <alignment horizontal="center" vertical="center"/>
      <protection hidden="1"/>
    </xf>
    <xf numFmtId="4" fontId="7" fillId="2" borderId="20" xfId="0" applyNumberFormat="1" applyFont="1" applyFill="1" applyBorder="1" applyAlignment="1" applyProtection="1">
      <alignment horizontal="center" vertical="center"/>
      <protection hidden="1"/>
    </xf>
    <xf numFmtId="4" fontId="7" fillId="2" borderId="47" xfId="0" applyNumberFormat="1" applyFont="1" applyFill="1" applyBorder="1" applyAlignment="1" applyProtection="1">
      <alignment horizontal="center" vertical="center"/>
      <protection hidden="1"/>
    </xf>
    <xf numFmtId="4" fontId="7" fillId="2" borderId="41" xfId="0" applyNumberFormat="1" applyFont="1" applyFill="1" applyBorder="1" applyAlignment="1" applyProtection="1">
      <alignment horizontal="center" vertical="center"/>
      <protection hidden="1"/>
    </xf>
    <xf numFmtId="0" fontId="7" fillId="2" borderId="48" xfId="0" applyFont="1" applyFill="1" applyBorder="1" applyAlignment="1" applyProtection="1">
      <alignment horizontal="center" vertical="center"/>
      <protection hidden="1"/>
    </xf>
    <xf numFmtId="4" fontId="7" fillId="2" borderId="49" xfId="0" applyNumberFormat="1" applyFont="1" applyFill="1" applyBorder="1" applyAlignment="1" applyProtection="1">
      <alignment horizontal="center" vertical="center"/>
      <protection hidden="1"/>
    </xf>
    <xf numFmtId="4" fontId="7" fillId="2" borderId="50" xfId="0" applyNumberFormat="1" applyFont="1" applyFill="1" applyBorder="1" applyAlignment="1" applyProtection="1">
      <alignment horizontal="center"/>
      <protection hidden="1"/>
    </xf>
    <xf numFmtId="0" fontId="7" fillId="2" borderId="51" xfId="0" applyFont="1" applyFill="1" applyBorder="1" applyAlignment="1" applyProtection="1">
      <alignment horizontal="center" vertical="center"/>
      <protection hidden="1"/>
    </xf>
    <xf numFmtId="0" fontId="2" fillId="2" borderId="20" xfId="0" applyFont="1" applyFill="1" applyBorder="1" applyAlignment="1" applyProtection="1">
      <alignment horizontal="center" vertical="center"/>
      <protection hidden="1"/>
    </xf>
    <xf numFmtId="0" fontId="7" fillId="2" borderId="52" xfId="0" applyFont="1" applyFill="1" applyBorder="1" applyAlignment="1" applyProtection="1">
      <alignment horizontal="center" vertical="center"/>
      <protection hidden="1"/>
    </xf>
    <xf numFmtId="4" fontId="7" fillId="2" borderId="53" xfId="0" applyNumberFormat="1" applyFont="1" applyFill="1" applyBorder="1" applyAlignment="1" applyProtection="1">
      <alignment horizontal="center" vertical="center"/>
      <protection hidden="1"/>
    </xf>
    <xf numFmtId="4" fontId="7" fillId="2" borderId="54" xfId="0" applyNumberFormat="1" applyFont="1" applyFill="1" applyBorder="1" applyAlignment="1" applyProtection="1">
      <alignment horizontal="center" vertical="center"/>
      <protection hidden="1"/>
    </xf>
    <xf numFmtId="0" fontId="7" fillId="0" borderId="0" xfId="0" applyFont="1" applyProtection="1">
      <protection hidden="1"/>
    </xf>
    <xf numFmtId="0" fontId="7" fillId="0" borderId="0" xfId="0" applyFont="1" applyAlignment="1" applyProtection="1">
      <alignment wrapText="1"/>
      <protection hidden="1"/>
    </xf>
    <xf numFmtId="4" fontId="7" fillId="0" borderId="7" xfId="0" applyNumberFormat="1" applyFont="1" applyBorder="1" applyProtection="1">
      <protection hidden="1"/>
    </xf>
    <xf numFmtId="0" fontId="4" fillId="0" borderId="55" xfId="0" applyNumberFormat="1" applyFont="1" applyBorder="1" applyAlignment="1" applyProtection="1">
      <alignment horizontal="right"/>
      <protection hidden="1"/>
    </xf>
    <xf numFmtId="0" fontId="2" fillId="0" borderId="0" xfId="0" applyNumberFormat="1" applyFont="1" applyAlignment="1" applyProtection="1">
      <alignment horizontal="left"/>
      <protection hidden="1"/>
    </xf>
    <xf numFmtId="0" fontId="10" fillId="0" borderId="0" xfId="0" applyNumberFormat="1" applyFont="1" applyBorder="1" applyAlignment="1" applyProtection="1">
      <alignment horizontal="center" vertical="center" wrapText="1"/>
      <protection hidden="1"/>
    </xf>
    <xf numFmtId="0" fontId="2" fillId="0" borderId="0" xfId="0" applyNumberFormat="1" applyFont="1" applyBorder="1" applyAlignment="1" applyProtection="1">
      <alignment vertical="center"/>
      <protection hidden="1"/>
    </xf>
    <xf numFmtId="0" fontId="4" fillId="0" borderId="0" xfId="0" applyNumberFormat="1" applyFont="1" applyBorder="1" applyAlignment="1" applyProtection="1">
      <alignment horizontal="right"/>
      <protection hidden="1"/>
    </xf>
    <xf numFmtId="14" fontId="6" fillId="0" borderId="0" xfId="0" applyNumberFormat="1" applyFont="1" applyBorder="1" applyAlignment="1" applyProtection="1">
      <alignment horizontal="right" vertical="center"/>
      <protection hidden="1"/>
    </xf>
    <xf numFmtId="0" fontId="7" fillId="4" borderId="0" xfId="0" applyFont="1" applyFill="1" applyBorder="1" applyProtection="1">
      <protection hidden="1"/>
    </xf>
    <xf numFmtId="0" fontId="7" fillId="4" borderId="0" xfId="0" applyFont="1" applyFill="1" applyProtection="1">
      <protection hidden="1"/>
    </xf>
    <xf numFmtId="0" fontId="7" fillId="4" borderId="0" xfId="0" applyFont="1" applyFill="1" applyAlignment="1" applyProtection="1">
      <alignment wrapText="1"/>
      <protection hidden="1"/>
    </xf>
    <xf numFmtId="0" fontId="9" fillId="2" borderId="20" xfId="0" applyNumberFormat="1" applyFont="1" applyFill="1" applyBorder="1" applyAlignment="1" applyProtection="1">
      <alignment horizontal="center" vertical="center"/>
      <protection hidden="1"/>
    </xf>
    <xf numFmtId="0" fontId="9" fillId="0" borderId="56" xfId="0" applyNumberFormat="1"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3" fontId="9" fillId="2" borderId="20" xfId="0" applyNumberFormat="1" applyFont="1" applyFill="1" applyBorder="1" applyAlignment="1" applyProtection="1">
      <alignment horizontal="center" vertical="center"/>
      <protection hidden="1"/>
    </xf>
    <xf numFmtId="3" fontId="9" fillId="2" borderId="19" xfId="0" applyNumberFormat="1" applyFont="1" applyFill="1" applyBorder="1" applyAlignment="1" applyProtection="1">
      <alignment horizontal="center" vertical="center"/>
      <protection hidden="1"/>
    </xf>
    <xf numFmtId="3" fontId="9" fillId="2" borderId="27" xfId="0" applyNumberFormat="1"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0" fontId="15" fillId="5" borderId="24" xfId="0" applyFont="1" applyFill="1" applyBorder="1" applyAlignment="1">
      <alignment horizontal="center" vertical="center" wrapText="1"/>
    </xf>
    <xf numFmtId="0" fontId="14" fillId="4" borderId="0" xfId="0" applyNumberFormat="1" applyFont="1" applyFill="1" applyBorder="1" applyAlignment="1" applyProtection="1">
      <alignment vertical="center" wrapText="1"/>
      <protection hidden="1"/>
    </xf>
    <xf numFmtId="0" fontId="16" fillId="4" borderId="9" xfId="0" applyNumberFormat="1" applyFont="1" applyFill="1" applyBorder="1" applyAlignment="1" applyProtection="1">
      <alignment wrapText="1"/>
      <protection hidden="1"/>
    </xf>
    <xf numFmtId="0" fontId="5" fillId="0" borderId="2" xfId="0" applyFont="1" applyBorder="1" applyAlignment="1">
      <alignment vertical="center" wrapText="1"/>
    </xf>
    <xf numFmtId="0" fontId="4" fillId="0" borderId="7" xfId="0" applyFont="1" applyBorder="1" applyAlignment="1">
      <alignment vertical="center" wrapText="1"/>
    </xf>
    <xf numFmtId="0" fontId="1" fillId="0" borderId="21" xfId="0" applyNumberFormat="1" applyFont="1" applyBorder="1" applyAlignment="1" applyProtection="1">
      <alignment horizontal="left"/>
      <protection hidden="1"/>
    </xf>
    <xf numFmtId="0" fontId="1" fillId="0" borderId="33" xfId="0" applyNumberFormat="1" applyFont="1" applyBorder="1" applyAlignment="1" applyProtection="1">
      <alignment horizontal="center"/>
      <protection hidden="1"/>
    </xf>
    <xf numFmtId="3" fontId="1" fillId="0" borderId="33" xfId="0" applyNumberFormat="1" applyFont="1" applyBorder="1" applyAlignment="1" applyProtection="1">
      <alignment horizontal="center"/>
      <protection hidden="1"/>
    </xf>
    <xf numFmtId="3" fontId="1" fillId="0" borderId="17" xfId="0" applyNumberFormat="1" applyFont="1" applyBorder="1" applyAlignment="1" applyProtection="1">
      <alignment horizontal="center"/>
      <protection hidden="1"/>
    </xf>
    <xf numFmtId="0" fontId="1" fillId="0" borderId="0" xfId="0" applyNumberFormat="1" applyFont="1" applyProtection="1">
      <protection hidden="1"/>
    </xf>
    <xf numFmtId="4" fontId="1" fillId="0" borderId="33" xfId="0" applyNumberFormat="1" applyFont="1" applyBorder="1" applyAlignment="1" applyProtection="1">
      <alignment horizontal="center"/>
      <protection hidden="1"/>
    </xf>
    <xf numFmtId="4" fontId="1" fillId="0" borderId="58" xfId="0" applyNumberFormat="1" applyFont="1" applyBorder="1" applyAlignment="1" applyProtection="1">
      <alignment horizontal="center"/>
      <protection hidden="1"/>
    </xf>
    <xf numFmtId="0" fontId="1" fillId="0" borderId="59" xfId="0" applyNumberFormat="1" applyFont="1" applyBorder="1" applyAlignment="1" applyProtection="1">
      <alignment horizontal="center"/>
      <protection hidden="1"/>
    </xf>
    <xf numFmtId="0" fontId="1" fillId="0" borderId="60" xfId="0" applyNumberFormat="1" applyFont="1" applyBorder="1" applyAlignment="1" applyProtection="1">
      <alignment horizontal="left" vertical="top"/>
      <protection hidden="1"/>
    </xf>
    <xf numFmtId="0" fontId="1" fillId="0" borderId="42" xfId="0" applyNumberFormat="1" applyFont="1" applyBorder="1" applyAlignment="1" applyProtection="1">
      <alignment horizontal="center" vertical="top"/>
      <protection hidden="1"/>
    </xf>
    <xf numFmtId="3" fontId="1" fillId="0" borderId="42" xfId="0" applyNumberFormat="1" applyFont="1" applyBorder="1" applyAlignment="1" applyProtection="1">
      <alignment horizontal="center" vertical="top"/>
      <protection hidden="1"/>
    </xf>
    <xf numFmtId="3" fontId="1" fillId="0" borderId="54" xfId="0" applyNumberFormat="1" applyFont="1" applyBorder="1" applyAlignment="1" applyProtection="1">
      <alignment horizontal="center"/>
      <protection hidden="1"/>
    </xf>
    <xf numFmtId="3" fontId="1" fillId="0" borderId="42" xfId="0" applyNumberFormat="1" applyFont="1" applyBorder="1" applyAlignment="1" applyProtection="1">
      <alignment horizontal="center"/>
      <protection hidden="1"/>
    </xf>
    <xf numFmtId="4" fontId="1" fillId="0" borderId="42" xfId="0" applyNumberFormat="1" applyFont="1" applyBorder="1" applyAlignment="1" applyProtection="1">
      <alignment horizontal="center"/>
      <protection hidden="1"/>
    </xf>
    <xf numFmtId="4" fontId="1" fillId="0" borderId="61" xfId="0" applyNumberFormat="1" applyFont="1" applyBorder="1" applyAlignment="1" applyProtection="1">
      <alignment horizontal="center" vertical="top"/>
      <protection hidden="1"/>
    </xf>
    <xf numFmtId="0" fontId="5" fillId="5" borderId="8" xfId="0" applyNumberFormat="1" applyFont="1" applyFill="1" applyBorder="1" applyAlignment="1" applyProtection="1">
      <alignment horizontal="left" vertical="center"/>
      <protection hidden="1"/>
    </xf>
    <xf numFmtId="0" fontId="5" fillId="5" borderId="0" xfId="0" applyNumberFormat="1" applyFont="1" applyFill="1" applyBorder="1" applyAlignment="1" applyProtection="1">
      <alignment horizontal="left" vertical="center"/>
      <protection hidden="1"/>
    </xf>
    <xf numFmtId="0" fontId="5" fillId="5" borderId="16" xfId="0" applyNumberFormat="1" applyFont="1" applyFill="1" applyBorder="1" applyAlignment="1" applyProtection="1">
      <alignment horizontal="left" vertical="center"/>
      <protection hidden="1"/>
    </xf>
    <xf numFmtId="0" fontId="5" fillId="5" borderId="8" xfId="0" applyNumberFormat="1" applyFont="1" applyFill="1" applyBorder="1" applyAlignment="1" applyProtection="1">
      <alignment horizontal="left"/>
      <protection hidden="1"/>
    </xf>
    <xf numFmtId="0" fontId="5" fillId="5" borderId="0" xfId="0" applyNumberFormat="1" applyFont="1" applyFill="1" applyBorder="1" applyAlignment="1" applyProtection="1">
      <alignment horizontal="left"/>
      <protection hidden="1"/>
    </xf>
    <xf numFmtId="0" fontId="5" fillId="5" borderId="16" xfId="0" applyNumberFormat="1" applyFont="1" applyFill="1" applyBorder="1" applyAlignment="1" applyProtection="1">
      <alignment horizontal="left"/>
      <protection hidden="1"/>
    </xf>
    <xf numFmtId="0" fontId="5" fillId="5" borderId="74" xfId="0" applyNumberFormat="1" applyFont="1" applyFill="1" applyBorder="1" applyAlignment="1" applyProtection="1">
      <alignment horizontal="left" vertical="center"/>
      <protection hidden="1"/>
    </xf>
    <xf numFmtId="0" fontId="5" fillId="5" borderId="75" xfId="0" applyNumberFormat="1" applyFont="1" applyFill="1" applyBorder="1" applyAlignment="1" applyProtection="1">
      <alignment horizontal="left" vertical="center"/>
      <protection hidden="1"/>
    </xf>
    <xf numFmtId="0" fontId="5" fillId="5" borderId="76" xfId="0" applyNumberFormat="1" applyFont="1" applyFill="1" applyBorder="1" applyAlignment="1" applyProtection="1">
      <alignment horizontal="left" vertical="center"/>
      <protection hidden="1"/>
    </xf>
    <xf numFmtId="0" fontId="2" fillId="0" borderId="77" xfId="0" applyNumberFormat="1" applyFont="1" applyBorder="1" applyAlignment="1" applyProtection="1">
      <alignment horizontal="center" vertical="center" wrapText="1"/>
      <protection hidden="1"/>
    </xf>
    <xf numFmtId="0" fontId="2" fillId="0" borderId="21" xfId="0" applyNumberFormat="1" applyFont="1" applyBorder="1" applyAlignment="1" applyProtection="1">
      <alignment horizontal="center" vertical="center" wrapText="1"/>
      <protection hidden="1"/>
    </xf>
    <xf numFmtId="0" fontId="2" fillId="0" borderId="69" xfId="0" applyNumberFormat="1" applyFont="1" applyBorder="1" applyAlignment="1" applyProtection="1">
      <alignment horizontal="center" vertical="center" wrapText="1"/>
      <protection hidden="1"/>
    </xf>
    <xf numFmtId="0" fontId="5" fillId="0" borderId="62" xfId="0" applyNumberFormat="1" applyFont="1" applyBorder="1" applyAlignment="1" applyProtection="1">
      <alignment horizontal="center" vertical="center" wrapText="1"/>
      <protection hidden="1"/>
    </xf>
    <xf numFmtId="0" fontId="5" fillId="0" borderId="63" xfId="0" applyNumberFormat="1" applyFont="1" applyBorder="1" applyAlignment="1" applyProtection="1">
      <alignment horizontal="center" vertical="center" wrapText="1"/>
      <protection hidden="1"/>
    </xf>
    <xf numFmtId="0" fontId="5" fillId="0" borderId="12" xfId="0" applyNumberFormat="1" applyFont="1" applyBorder="1" applyAlignment="1" applyProtection="1">
      <alignment horizontal="center" vertical="center" wrapText="1"/>
      <protection hidden="1"/>
    </xf>
    <xf numFmtId="0" fontId="5" fillId="0" borderId="10" xfId="0" applyNumberFormat="1" applyFont="1" applyBorder="1" applyAlignment="1" applyProtection="1">
      <alignment horizontal="center" vertical="center" wrapText="1"/>
      <protection hidden="1"/>
    </xf>
    <xf numFmtId="0" fontId="5" fillId="0" borderId="9" xfId="0" applyNumberFormat="1" applyFont="1" applyBorder="1" applyAlignment="1" applyProtection="1">
      <alignment horizontal="center" vertical="center" wrapText="1"/>
      <protection hidden="1"/>
    </xf>
    <xf numFmtId="0" fontId="5" fillId="0" borderId="23" xfId="0" applyNumberFormat="1" applyFont="1" applyBorder="1" applyAlignment="1" applyProtection="1">
      <alignment horizontal="center" vertical="center" wrapText="1"/>
      <protection hidden="1"/>
    </xf>
    <xf numFmtId="0" fontId="15" fillId="0" borderId="9" xfId="0" applyNumberFormat="1" applyFont="1" applyBorder="1" applyAlignment="1" applyProtection="1">
      <alignment horizontal="center" vertical="center"/>
      <protection hidden="1"/>
    </xf>
    <xf numFmtId="3" fontId="9" fillId="0" borderId="71" xfId="0" applyNumberFormat="1" applyFont="1" applyBorder="1" applyAlignment="1" applyProtection="1">
      <alignment horizontal="center" vertical="center"/>
      <protection hidden="1"/>
    </xf>
    <xf numFmtId="3" fontId="9" fillId="0" borderId="33" xfId="0" applyNumberFormat="1" applyFont="1" applyBorder="1" applyAlignment="1" applyProtection="1">
      <alignment horizontal="center" vertical="center"/>
      <protection hidden="1"/>
    </xf>
    <xf numFmtId="3" fontId="9" fillId="0" borderId="40" xfId="0" applyNumberFormat="1" applyFont="1" applyBorder="1" applyAlignment="1" applyProtection="1">
      <alignment horizontal="center" vertical="center"/>
      <protection hidden="1"/>
    </xf>
    <xf numFmtId="0" fontId="10" fillId="0" borderId="62" xfId="0" applyNumberFormat="1" applyFont="1" applyBorder="1" applyAlignment="1" applyProtection="1">
      <alignment horizontal="center" vertical="center" wrapText="1"/>
      <protection hidden="1"/>
    </xf>
    <xf numFmtId="0" fontId="10" fillId="0" borderId="63" xfId="0" applyNumberFormat="1" applyFont="1" applyBorder="1" applyAlignment="1" applyProtection="1">
      <alignment horizontal="center" vertical="center" wrapText="1"/>
      <protection hidden="1"/>
    </xf>
    <xf numFmtId="0" fontId="10" fillId="0" borderId="12" xfId="0" applyNumberFormat="1" applyFont="1" applyBorder="1" applyAlignment="1" applyProtection="1">
      <alignment horizontal="center" vertical="center" wrapText="1"/>
      <protection hidden="1"/>
    </xf>
    <xf numFmtId="0" fontId="10" fillId="0" borderId="8" xfId="0" applyNumberFormat="1" applyFont="1" applyBorder="1" applyAlignment="1" applyProtection="1">
      <alignment horizontal="center" vertical="center" wrapText="1"/>
      <protection hidden="1"/>
    </xf>
    <xf numFmtId="0" fontId="10" fillId="0" borderId="0" xfId="0" applyNumberFormat="1" applyFont="1" applyBorder="1" applyAlignment="1" applyProtection="1">
      <alignment horizontal="center" vertical="center" wrapText="1"/>
      <protection hidden="1"/>
    </xf>
    <xf numFmtId="0" fontId="10" fillId="0" borderId="16" xfId="0" applyNumberFormat="1" applyFont="1" applyBorder="1" applyAlignment="1" applyProtection="1">
      <alignment horizontal="center" vertical="center" wrapText="1"/>
      <protection hidden="1"/>
    </xf>
    <xf numFmtId="0" fontId="10" fillId="0" borderId="10" xfId="0" applyNumberFormat="1" applyFont="1" applyBorder="1" applyAlignment="1" applyProtection="1">
      <alignment horizontal="center" vertical="center" wrapText="1"/>
      <protection hidden="1"/>
    </xf>
    <xf numFmtId="0" fontId="10" fillId="0" borderId="9" xfId="0" applyNumberFormat="1" applyFont="1" applyBorder="1" applyAlignment="1" applyProtection="1">
      <alignment horizontal="center" vertical="center" wrapText="1"/>
      <protection hidden="1"/>
    </xf>
    <xf numFmtId="0" fontId="10" fillId="0" borderId="23" xfId="0" applyNumberFormat="1" applyFont="1" applyBorder="1" applyAlignment="1" applyProtection="1">
      <alignment horizontal="center" vertical="center" wrapText="1"/>
      <protection hidden="1"/>
    </xf>
    <xf numFmtId="0" fontId="7" fillId="0" borderId="8" xfId="0" applyNumberFormat="1" applyFont="1" applyBorder="1" applyAlignment="1" applyProtection="1">
      <alignment horizontal="center" vertical="center" wrapText="1"/>
      <protection hidden="1"/>
    </xf>
    <xf numFmtId="0" fontId="7" fillId="0" borderId="8" xfId="0" applyNumberFormat="1" applyFont="1" applyBorder="1" applyAlignment="1" applyProtection="1">
      <alignment horizontal="center" vertical="center"/>
      <protection hidden="1"/>
    </xf>
    <xf numFmtId="3" fontId="9" fillId="0" borderId="64" xfId="0" applyNumberFormat="1" applyFont="1" applyBorder="1" applyAlignment="1" applyProtection="1">
      <alignment horizontal="center" vertical="center"/>
      <protection hidden="1"/>
    </xf>
    <xf numFmtId="3" fontId="9" fillId="0" borderId="59" xfId="0" applyNumberFormat="1" applyFont="1" applyBorder="1" applyAlignment="1" applyProtection="1">
      <alignment horizontal="center" vertical="center"/>
      <protection hidden="1"/>
    </xf>
    <xf numFmtId="3" fontId="9" fillId="0" borderId="65" xfId="0" applyNumberFormat="1" applyFont="1" applyBorder="1" applyAlignment="1" applyProtection="1">
      <alignment horizontal="center" vertical="center"/>
      <protection hidden="1"/>
    </xf>
    <xf numFmtId="4" fontId="9" fillId="0" borderId="12" xfId="0" applyNumberFormat="1" applyFont="1" applyBorder="1" applyAlignment="1" applyProtection="1">
      <alignment horizontal="center" vertical="center" wrapText="1"/>
      <protection hidden="1"/>
    </xf>
    <xf numFmtId="4" fontId="9" fillId="0" borderId="16" xfId="0" applyNumberFormat="1" applyFont="1" applyBorder="1" applyAlignment="1" applyProtection="1">
      <alignment horizontal="center" vertical="center" wrapText="1"/>
      <protection hidden="1"/>
    </xf>
    <xf numFmtId="4" fontId="9" fillId="0" borderId="19" xfId="0" applyNumberFormat="1" applyFont="1" applyBorder="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3" fontId="9" fillId="0" borderId="66" xfId="0" applyNumberFormat="1" applyFont="1" applyBorder="1" applyAlignment="1" applyProtection="1">
      <alignment horizontal="center" vertical="center"/>
      <protection hidden="1"/>
    </xf>
    <xf numFmtId="3" fontId="9" fillId="0" borderId="67" xfId="0" applyNumberFormat="1" applyFont="1" applyBorder="1" applyAlignment="1" applyProtection="1">
      <alignment horizontal="center" vertical="center"/>
      <protection hidden="1"/>
    </xf>
    <xf numFmtId="3" fontId="9" fillId="0" borderId="29" xfId="0" applyNumberFormat="1" applyFont="1" applyBorder="1" applyAlignment="1" applyProtection="1">
      <alignment horizontal="center" vertical="center"/>
      <protection hidden="1"/>
    </xf>
    <xf numFmtId="0" fontId="8" fillId="0" borderId="68" xfId="0" applyNumberFormat="1" applyFont="1" applyBorder="1" applyAlignment="1" applyProtection="1">
      <alignment horizontal="center" vertical="center"/>
      <protection hidden="1"/>
    </xf>
    <xf numFmtId="0" fontId="8" fillId="0" borderId="21" xfId="0" applyNumberFormat="1" applyFont="1" applyBorder="1" applyAlignment="1" applyProtection="1">
      <alignment horizontal="center" vertical="center"/>
      <protection hidden="1"/>
    </xf>
    <xf numFmtId="0" fontId="8" fillId="0" borderId="69" xfId="0" applyNumberFormat="1" applyFont="1" applyBorder="1" applyAlignment="1" applyProtection="1">
      <alignment horizontal="center" vertical="center"/>
      <protection hidden="1"/>
    </xf>
    <xf numFmtId="0" fontId="9" fillId="0" borderId="70" xfId="0" applyNumberFormat="1" applyFont="1" applyBorder="1" applyAlignment="1" applyProtection="1">
      <alignment horizontal="center" vertical="center" wrapText="1"/>
      <protection hidden="1"/>
    </xf>
    <xf numFmtId="0" fontId="9" fillId="0" borderId="59" xfId="0" applyNumberFormat="1" applyFont="1" applyBorder="1" applyAlignment="1" applyProtection="1">
      <alignment horizontal="center" vertical="center" wrapText="1"/>
      <protection hidden="1"/>
    </xf>
    <xf numFmtId="0" fontId="9" fillId="0" borderId="65" xfId="0" applyNumberFormat="1" applyFont="1" applyBorder="1" applyAlignment="1" applyProtection="1">
      <alignment horizontal="center" vertical="center" wrapText="1"/>
      <protection hidden="1"/>
    </xf>
    <xf numFmtId="4" fontId="9" fillId="0" borderId="31" xfId="0" applyNumberFormat="1" applyFont="1" applyBorder="1" applyAlignment="1" applyProtection="1">
      <alignment horizontal="center" vertical="center" wrapText="1"/>
      <protection hidden="1"/>
    </xf>
    <xf numFmtId="4" fontId="9" fillId="0" borderId="33" xfId="0" applyNumberFormat="1" applyFont="1" applyBorder="1" applyAlignment="1" applyProtection="1">
      <alignment horizontal="center" vertical="center" wrapText="1"/>
      <protection hidden="1"/>
    </xf>
    <xf numFmtId="4" fontId="9" fillId="0" borderId="40" xfId="0" applyNumberFormat="1" applyFont="1" applyBorder="1" applyAlignment="1" applyProtection="1">
      <alignment horizontal="center" vertical="center" wrapText="1"/>
      <protection hidden="1"/>
    </xf>
    <xf numFmtId="4" fontId="9" fillId="0" borderId="72" xfId="0" applyNumberFormat="1" applyFont="1" applyBorder="1" applyAlignment="1" applyProtection="1">
      <alignment horizontal="center" vertical="center" wrapText="1"/>
      <protection hidden="1"/>
    </xf>
    <xf numFmtId="4" fontId="9" fillId="0" borderId="58" xfId="0" applyNumberFormat="1" applyFont="1" applyBorder="1" applyAlignment="1" applyProtection="1">
      <alignment horizontal="center" vertical="center" wrapText="1"/>
      <protection hidden="1"/>
    </xf>
    <xf numFmtId="4" fontId="9" fillId="0" borderId="73" xfId="0" applyNumberFormat="1" applyFont="1" applyBorder="1" applyAlignment="1" applyProtection="1">
      <alignment horizontal="center" vertical="center" wrapText="1"/>
      <protection hidden="1"/>
    </xf>
    <xf numFmtId="0" fontId="2" fillId="0" borderId="0" xfId="0" applyNumberFormat="1" applyFont="1" applyAlignment="1" applyProtection="1">
      <alignment horizontal="left"/>
      <protection hidden="1"/>
    </xf>
    <xf numFmtId="164" fontId="4" fillId="0" borderId="8" xfId="0" applyNumberFormat="1" applyFont="1" applyBorder="1" applyAlignment="1" applyProtection="1">
      <alignment horizontal="right"/>
      <protection hidden="1"/>
    </xf>
    <xf numFmtId="164" fontId="4" fillId="0" borderId="16" xfId="0" applyNumberFormat="1" applyFont="1" applyBorder="1" applyAlignment="1" applyProtection="1">
      <alignment horizontal="right"/>
      <protection hidden="1"/>
    </xf>
    <xf numFmtId="4" fontId="4" fillId="0" borderId="8" xfId="0" applyNumberFormat="1" applyFont="1" applyBorder="1" applyAlignment="1" applyProtection="1">
      <alignment horizontal="right"/>
      <protection hidden="1"/>
    </xf>
    <xf numFmtId="4" fontId="4" fillId="0" borderId="16" xfId="0" applyNumberFormat="1" applyFont="1" applyBorder="1" applyAlignment="1" applyProtection="1">
      <alignment horizontal="right"/>
      <protection hidden="1"/>
    </xf>
    <xf numFmtId="14" fontId="6" fillId="0" borderId="10" xfId="0" applyNumberFormat="1" applyFont="1" applyBorder="1" applyAlignment="1" applyProtection="1">
      <alignment horizontal="right" vertical="center"/>
      <protection hidden="1"/>
    </xf>
    <xf numFmtId="14" fontId="6" fillId="0" borderId="23" xfId="0" applyNumberFormat="1" applyFont="1" applyBorder="1" applyAlignment="1" applyProtection="1">
      <alignment horizontal="right" vertical="center"/>
      <protection hidden="1"/>
    </xf>
    <xf numFmtId="0" fontId="7" fillId="2" borderId="17" xfId="0" applyFont="1" applyFill="1" applyBorder="1" applyAlignment="1" applyProtection="1">
      <alignment horizontal="center" vertical="center" textRotation="90"/>
      <protection hidden="1"/>
    </xf>
    <xf numFmtId="0" fontId="7" fillId="2" borderId="54" xfId="0" applyFont="1" applyFill="1" applyBorder="1" applyAlignment="1" applyProtection="1">
      <alignment horizontal="center" vertical="center" textRotation="90"/>
      <protection hidden="1"/>
    </xf>
    <xf numFmtId="0" fontId="7" fillId="0" borderId="82"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9" fillId="2" borderId="30" xfId="0" applyNumberFormat="1" applyFont="1" applyFill="1" applyBorder="1" applyAlignment="1" applyProtection="1">
      <alignment horizontal="center" vertical="center"/>
      <protection hidden="1"/>
    </xf>
    <xf numFmtId="0" fontId="9" fillId="2" borderId="26" xfId="0" applyNumberFormat="1" applyFont="1" applyFill="1" applyBorder="1" applyAlignment="1" applyProtection="1">
      <alignment horizontal="center" vertical="center"/>
      <protection hidden="1"/>
    </xf>
    <xf numFmtId="0" fontId="7" fillId="2" borderId="70" xfId="0" applyFont="1" applyFill="1" applyBorder="1" applyAlignment="1" applyProtection="1">
      <alignment horizontal="center" vertical="center" wrapText="1"/>
      <protection hidden="1"/>
    </xf>
    <xf numFmtId="0" fontId="7" fillId="2" borderId="59" xfId="0" applyFont="1" applyFill="1" applyBorder="1" applyAlignment="1" applyProtection="1">
      <alignment horizontal="center" vertical="center" wrapText="1"/>
      <protection hidden="1"/>
    </xf>
    <xf numFmtId="0" fontId="7" fillId="2" borderId="81" xfId="0"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protection locked="0"/>
    </xf>
    <xf numFmtId="0" fontId="9" fillId="2" borderId="79" xfId="0" applyNumberFormat="1" applyFont="1" applyFill="1" applyBorder="1" applyAlignment="1" applyProtection="1">
      <alignment horizontal="center" vertical="center" wrapText="1"/>
      <protection hidden="1"/>
    </xf>
    <xf numFmtId="0" fontId="9" fillId="2" borderId="27" xfId="0" applyNumberFormat="1" applyFont="1" applyFill="1" applyBorder="1" applyAlignment="1" applyProtection="1">
      <alignment horizontal="center" vertical="center"/>
      <protection hidden="1"/>
    </xf>
    <xf numFmtId="0" fontId="7" fillId="0" borderId="24" xfId="0" applyFont="1" applyBorder="1" applyAlignment="1" applyProtection="1">
      <alignment horizontal="center" vertical="center"/>
      <protection locked="0"/>
    </xf>
    <xf numFmtId="0" fontId="16" fillId="4" borderId="78" xfId="0" applyNumberFormat="1" applyFont="1" applyFill="1" applyBorder="1" applyAlignment="1" applyProtection="1">
      <alignment horizontal="center" wrapText="1"/>
      <protection hidden="1"/>
    </xf>
    <xf numFmtId="0" fontId="7" fillId="0" borderId="8" xfId="0" applyFont="1" applyBorder="1" applyAlignment="1" applyProtection="1">
      <alignment horizontal="center" textRotation="90"/>
      <protection hidden="1"/>
    </xf>
    <xf numFmtId="0" fontId="7" fillId="3" borderId="62" xfId="0" applyFont="1" applyFill="1" applyBorder="1" applyAlignment="1" applyProtection="1">
      <alignment horizontal="center"/>
      <protection hidden="1"/>
    </xf>
    <xf numFmtId="0" fontId="7" fillId="3" borderId="63" xfId="0" applyFont="1" applyFill="1" applyBorder="1" applyAlignment="1" applyProtection="1">
      <alignment horizontal="center"/>
      <protection hidden="1"/>
    </xf>
    <xf numFmtId="0" fontId="7" fillId="3" borderId="12" xfId="0" applyFont="1" applyFill="1" applyBorder="1" applyAlignment="1" applyProtection="1">
      <alignment horizontal="center"/>
      <protection hidden="1"/>
    </xf>
    <xf numFmtId="0" fontId="9" fillId="2" borderId="79" xfId="0" applyNumberFormat="1" applyFont="1" applyFill="1" applyBorder="1" applyAlignment="1" applyProtection="1">
      <alignment horizontal="center" vertical="center"/>
      <protection hidden="1"/>
    </xf>
    <xf numFmtId="0" fontId="7" fillId="2" borderId="79" xfId="0" applyFont="1" applyFill="1" applyBorder="1" applyAlignment="1" applyProtection="1">
      <alignment horizontal="center" vertical="center"/>
      <protection hidden="1"/>
    </xf>
    <xf numFmtId="0" fontId="7" fillId="2" borderId="27" xfId="0" applyFont="1" applyFill="1" applyBorder="1" applyAlignment="1" applyProtection="1">
      <alignment horizontal="center" vertical="center"/>
      <protection hidden="1"/>
    </xf>
    <xf numFmtId="0" fontId="7" fillId="2" borderId="49" xfId="0" applyFont="1" applyFill="1" applyBorder="1" applyAlignment="1" applyProtection="1">
      <alignment horizontal="center" vertical="center" wrapText="1"/>
      <protection hidden="1"/>
    </xf>
    <xf numFmtId="0" fontId="7" fillId="2" borderId="80" xfId="0" applyFont="1" applyFill="1" applyBorder="1" applyAlignment="1" applyProtection="1">
      <alignment horizontal="center" vertical="center"/>
      <protection hidden="1"/>
    </xf>
    <xf numFmtId="0" fontId="2" fillId="2" borderId="79" xfId="0" applyFont="1" applyFill="1" applyBorder="1" applyAlignment="1" applyProtection="1">
      <alignment horizontal="center" vertical="center"/>
      <protection hidden="1"/>
    </xf>
    <xf numFmtId="0" fontId="2" fillId="2" borderId="32" xfId="0" applyFont="1" applyFill="1" applyBorder="1" applyAlignment="1" applyProtection="1">
      <alignment horizontal="center" vertical="center"/>
      <protection hidden="1"/>
    </xf>
    <xf numFmtId="0" fontId="7" fillId="2" borderId="72" xfId="0" applyFont="1" applyFill="1" applyBorder="1" applyAlignment="1" applyProtection="1">
      <alignment horizontal="center" vertical="center" wrapText="1"/>
      <protection hidden="1"/>
    </xf>
    <xf numFmtId="0" fontId="7" fillId="2" borderId="61" xfId="0" applyFont="1" applyFill="1" applyBorder="1" applyAlignment="1" applyProtection="1">
      <alignment horizontal="center" vertical="center"/>
      <protection hidden="1"/>
    </xf>
    <xf numFmtId="0" fontId="1" fillId="2" borderId="31" xfId="0" applyFont="1" applyFill="1" applyBorder="1" applyAlignment="1" applyProtection="1">
      <alignment horizontal="center" vertical="center" wrapText="1"/>
      <protection hidden="1"/>
    </xf>
    <xf numFmtId="0" fontId="7" fillId="2" borderId="42" xfId="0" applyFont="1" applyFill="1" applyBorder="1" applyAlignment="1" applyProtection="1">
      <alignment horizontal="center" vertical="center" wrapText="1"/>
      <protection hidden="1"/>
    </xf>
    <xf numFmtId="0" fontId="7" fillId="2" borderId="31" xfId="0" applyFont="1" applyFill="1" applyBorder="1" applyAlignment="1" applyProtection="1">
      <alignment horizontal="center" vertical="center" wrapText="1"/>
      <protection hidden="1"/>
    </xf>
    <xf numFmtId="0" fontId="7" fillId="2" borderId="79"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14" fillId="0" borderId="62" xfId="0" applyNumberFormat="1" applyFont="1" applyBorder="1" applyAlignment="1" applyProtection="1">
      <alignment horizontal="center" vertical="center" wrapText="1"/>
      <protection hidden="1"/>
    </xf>
    <xf numFmtId="0" fontId="14" fillId="0" borderId="63" xfId="0" applyNumberFormat="1" applyFont="1" applyBorder="1" applyAlignment="1" applyProtection="1">
      <alignment horizontal="center" vertical="center" wrapText="1"/>
      <protection hidden="1"/>
    </xf>
    <xf numFmtId="0" fontId="14" fillId="0" borderId="12" xfId="0" applyNumberFormat="1" applyFont="1" applyBorder="1" applyAlignment="1" applyProtection="1">
      <alignment horizontal="center" vertical="center" wrapText="1"/>
      <protection hidden="1"/>
    </xf>
    <xf numFmtId="0" fontId="14" fillId="0" borderId="8" xfId="0" applyNumberFormat="1" applyFont="1" applyBorder="1" applyAlignment="1" applyProtection="1">
      <alignment horizontal="center" vertical="center" wrapText="1"/>
      <protection hidden="1"/>
    </xf>
    <xf numFmtId="0" fontId="14" fillId="0" borderId="0" xfId="0" applyNumberFormat="1" applyFont="1" applyBorder="1" applyAlignment="1" applyProtection="1">
      <alignment horizontal="center" vertical="center" wrapText="1"/>
      <protection hidden="1"/>
    </xf>
    <xf numFmtId="0" fontId="14" fillId="0" borderId="16" xfId="0" applyNumberFormat="1" applyFont="1" applyBorder="1" applyAlignment="1" applyProtection="1">
      <alignment horizontal="center" vertical="center" wrapText="1"/>
      <protection hidden="1"/>
    </xf>
    <xf numFmtId="0" fontId="14" fillId="0" borderId="10" xfId="0" applyNumberFormat="1" applyFont="1" applyBorder="1" applyAlignment="1" applyProtection="1">
      <alignment horizontal="center" vertical="center" wrapText="1"/>
      <protection hidden="1"/>
    </xf>
    <xf numFmtId="0" fontId="14" fillId="0" borderId="9" xfId="0" applyNumberFormat="1" applyFont="1" applyBorder="1" applyAlignment="1" applyProtection="1">
      <alignment horizontal="center" vertical="center" wrapText="1"/>
      <protection hidden="1"/>
    </xf>
    <xf numFmtId="0" fontId="14" fillId="0" borderId="23" xfId="0" applyNumberFormat="1" applyFont="1" applyBorder="1" applyAlignment="1" applyProtection="1">
      <alignment horizontal="center" vertical="center" wrapText="1"/>
      <protection hidden="1"/>
    </xf>
    <xf numFmtId="14" fontId="10" fillId="4" borderId="0" xfId="0" applyNumberFormat="1" applyFont="1" applyFill="1" applyBorder="1" applyAlignment="1" applyProtection="1">
      <alignment horizontal="right" vertical="center"/>
      <protection hidden="1"/>
    </xf>
    <xf numFmtId="0" fontId="10" fillId="4" borderId="0" xfId="0" applyFont="1" applyFill="1" applyBorder="1" applyAlignment="1" applyProtection="1">
      <alignment horizontal="right" vertical="center"/>
      <protection hidden="1"/>
    </xf>
    <xf numFmtId="0" fontId="10" fillId="4" borderId="8" xfId="0" applyNumberFormat="1" applyFont="1" applyFill="1" applyBorder="1" applyAlignment="1" applyProtection="1">
      <alignment horizontal="right" vertical="center" wrapText="1"/>
      <protection hidden="1"/>
    </xf>
    <xf numFmtId="0" fontId="10" fillId="4" borderId="0" xfId="0" applyNumberFormat="1" applyFont="1" applyFill="1" applyBorder="1" applyAlignment="1" applyProtection="1">
      <alignment horizontal="right" vertical="center" wrapText="1"/>
      <protection hidden="1"/>
    </xf>
  </cellXfs>
  <cellStyles count="1">
    <cellStyle name="Normal" xfId="0" builtinId="0"/>
  </cellStyles>
  <dxfs count="8">
    <dxf>
      <font>
        <b/>
        <i val="0"/>
        <color theme="0"/>
      </font>
      <fill>
        <patternFill>
          <bgColor rgb="FFC00000"/>
        </patternFill>
      </fill>
    </dxf>
    <dxf>
      <font>
        <b/>
        <i val="0"/>
        <color theme="0"/>
      </font>
      <fill>
        <patternFill>
          <bgColor rgb="FF00B050"/>
        </patternFill>
      </fill>
    </dxf>
    <dxf>
      <fill>
        <patternFill>
          <bgColor indexed="10"/>
        </patternFill>
      </fill>
    </dxf>
    <dxf>
      <fill>
        <patternFill>
          <bgColor indexed="11"/>
        </patternFill>
      </fill>
    </dxf>
    <dxf>
      <font>
        <condense val="0"/>
        <extend val="0"/>
        <color indexed="10"/>
      </font>
    </dxf>
    <dxf>
      <font>
        <condense val="0"/>
        <extend val="0"/>
        <color indexed="11"/>
      </font>
    </dxf>
    <dxf>
      <font>
        <b/>
        <i val="0"/>
        <color theme="0"/>
      </font>
      <fill>
        <patternFill>
          <bgColor rgb="FFC00000"/>
        </patternFill>
      </fill>
    </dxf>
    <dxf>
      <font>
        <b/>
        <i val="0"/>
        <color theme="0"/>
      </font>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0</xdr:row>
      <xdr:rowOff>971550</xdr:rowOff>
    </xdr:to>
    <xdr:pic>
      <xdr:nvPicPr>
        <xdr:cNvPr id="3220" name="Image 1">
          <a:extLst>
            <a:ext uri="{FF2B5EF4-FFF2-40B4-BE49-F238E27FC236}">
              <a16:creationId xmlns:a16="http://schemas.microsoft.com/office/drawing/2014/main" id="{CDB81694-8039-4778-AFED-6A54B7712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2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1295400</xdr:colOff>
      <xdr:row>9</xdr:row>
      <xdr:rowOff>68035</xdr:rowOff>
    </xdr:to>
    <xdr:pic>
      <xdr:nvPicPr>
        <xdr:cNvPr id="1174" name="Image 1">
          <a:extLst>
            <a:ext uri="{FF2B5EF4-FFF2-40B4-BE49-F238E27FC236}">
              <a16:creationId xmlns:a16="http://schemas.microsoft.com/office/drawing/2014/main" id="{353F902C-E73C-4164-90EA-320562217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1295400" cy="92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600075</xdr:colOff>
      <xdr:row>4</xdr:row>
      <xdr:rowOff>161925</xdr:rowOff>
    </xdr:to>
    <xdr:pic>
      <xdr:nvPicPr>
        <xdr:cNvPr id="2199" name="Image 1">
          <a:extLst>
            <a:ext uri="{FF2B5EF4-FFF2-40B4-BE49-F238E27FC236}">
              <a16:creationId xmlns:a16="http://schemas.microsoft.com/office/drawing/2014/main" id="{A2FFC4B7-2C0A-477B-B824-710F4270B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16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baseColWidth="10" defaultRowHeight="15" x14ac:dyDescent="0.2"/>
  <cols>
    <col min="1" max="1" width="106.7109375" style="8" customWidth="1"/>
    <col min="2" max="16384" width="11.42578125" style="8"/>
  </cols>
  <sheetData>
    <row r="1" spans="1:1" ht="76.5" customHeight="1" thickBot="1" x14ac:dyDescent="0.25">
      <c r="A1" s="138" t="s">
        <v>174</v>
      </c>
    </row>
    <row r="2" spans="1:1" ht="8.1" customHeight="1" thickBot="1" x14ac:dyDescent="0.3">
      <c r="A2" s="10"/>
    </row>
    <row r="3" spans="1:1" ht="63.75" thickBot="1" x14ac:dyDescent="0.3">
      <c r="A3" s="12" t="s">
        <v>178</v>
      </c>
    </row>
    <row r="4" spans="1:1" ht="8.1" customHeight="1" thickBot="1" x14ac:dyDescent="0.3">
      <c r="A4" s="10"/>
    </row>
    <row r="5" spans="1:1" ht="75.75" thickBot="1" x14ac:dyDescent="0.25">
      <c r="A5" s="11" t="s">
        <v>167</v>
      </c>
    </row>
    <row r="6" spans="1:1" ht="8.1" customHeight="1" thickBot="1" x14ac:dyDescent="0.25"/>
    <row r="7" spans="1:1" ht="31.5" thickBot="1" x14ac:dyDescent="0.25">
      <c r="A7" s="11" t="s">
        <v>165</v>
      </c>
    </row>
    <row r="8" spans="1:1" ht="8.1" customHeight="1" thickBot="1" x14ac:dyDescent="0.25"/>
    <row r="9" spans="1:1" ht="31.5" thickBot="1" x14ac:dyDescent="0.25">
      <c r="A9" s="11" t="s">
        <v>166</v>
      </c>
    </row>
    <row r="10" spans="1:1" ht="8.1" customHeight="1" thickBot="1" x14ac:dyDescent="0.25"/>
    <row r="11" spans="1:1" ht="354.75" customHeight="1" thickTop="1" thickBot="1" x14ac:dyDescent="0.25">
      <c r="A11" s="141" t="s">
        <v>180</v>
      </c>
    </row>
    <row r="12" spans="1:1" ht="16.5" thickTop="1" thickBot="1" x14ac:dyDescent="0.25">
      <c r="A12" s="9"/>
    </row>
    <row r="13" spans="1:1" ht="117.75" customHeight="1" thickBot="1" x14ac:dyDescent="0.25">
      <c r="A13" s="142" t="s">
        <v>177</v>
      </c>
    </row>
  </sheetData>
  <sheetProtection password="CA9B" sheet="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33"/>
  <sheetViews>
    <sheetView showGridLines="0" workbookViewId="0">
      <pane ySplit="14" topLeftCell="A75" activePane="bottomLeft" state="frozen"/>
      <selection pane="bottomLeft" activeCell="AK9" sqref="AK9"/>
    </sheetView>
  </sheetViews>
  <sheetFormatPr baseColWidth="10" defaultRowHeight="22.5" customHeight="1" x14ac:dyDescent="0.2"/>
  <cols>
    <col min="1" max="1" width="4.5703125" style="13" customWidth="1"/>
    <col min="2" max="2" width="18.28515625" style="14" hidden="1" customWidth="1"/>
    <col min="3" max="3" width="44.28515625" style="14" bestFit="1" customWidth="1"/>
    <col min="4" max="4" width="6.7109375" style="63" customWidth="1"/>
    <col min="5" max="5" width="7.28515625" style="17" customWidth="1"/>
    <col min="6" max="6" width="8.7109375" style="17" customWidth="1"/>
    <col min="7" max="8" width="7.28515625" style="17" customWidth="1"/>
    <col min="9" max="9" width="6.140625" style="17" bestFit="1" customWidth="1"/>
    <col min="10" max="11" width="7.28515625" style="16" bestFit="1" customWidth="1"/>
    <col min="12" max="12" width="7" style="16" hidden="1" customWidth="1"/>
    <col min="13" max="13" width="7.140625" style="16" hidden="1" customWidth="1"/>
    <col min="14" max="14" width="5.7109375" style="16" hidden="1" customWidth="1"/>
    <col min="15" max="15" width="6.140625" style="17" hidden="1" customWidth="1"/>
    <col min="16" max="17" width="5.42578125" style="17" hidden="1" customWidth="1"/>
    <col min="18" max="18" width="6.140625" style="17" hidden="1" customWidth="1"/>
    <col min="19" max="24" width="0" style="14" hidden="1" customWidth="1"/>
    <col min="25" max="25" width="9.85546875" style="16" hidden="1" customWidth="1"/>
    <col min="26" max="33" width="0" style="14" hidden="1" customWidth="1"/>
    <col min="34" max="37" width="11.42578125" style="14"/>
    <col min="38" max="39" width="11.42578125" style="14" customWidth="1"/>
    <col min="40" max="16384" width="11.42578125" style="14"/>
  </cols>
  <sheetData>
    <row r="1" spans="1:39" ht="22.5" hidden="1" customHeight="1" x14ac:dyDescent="0.2">
      <c r="A1" s="213"/>
      <c r="C1" s="15" t="s">
        <v>163</v>
      </c>
      <c r="D1" s="214">
        <v>555.83600000000001</v>
      </c>
      <c r="E1" s="215"/>
      <c r="F1" s="180" t="str">
        <f ca="1">IF(AM4-D4&gt;=60,AM5,AM6)</f>
        <v>Les valeurs ont été mises à jour il y a moins de 60 jours.
Vous pouvez continuer à utiliser ce classeur.</v>
      </c>
      <c r="G1" s="181"/>
      <c r="H1" s="181"/>
      <c r="I1" s="181"/>
      <c r="J1" s="181"/>
      <c r="K1" s="182"/>
      <c r="L1" s="167"/>
    </row>
    <row r="2" spans="1:39" ht="22.5" hidden="1" customHeight="1" x14ac:dyDescent="0.2">
      <c r="A2" s="213"/>
      <c r="C2" s="122" t="s">
        <v>162</v>
      </c>
      <c r="D2" s="214">
        <v>349.125</v>
      </c>
      <c r="E2" s="215"/>
      <c r="F2" s="183"/>
      <c r="G2" s="184"/>
      <c r="H2" s="184"/>
      <c r="I2" s="184"/>
      <c r="J2" s="184"/>
      <c r="K2" s="185"/>
      <c r="L2" s="168"/>
    </row>
    <row r="3" spans="1:39" ht="22.5" hidden="1" customHeight="1" x14ac:dyDescent="0.2">
      <c r="A3" s="213"/>
      <c r="C3" s="15" t="s">
        <v>161</v>
      </c>
      <c r="D3" s="216">
        <v>0.85</v>
      </c>
      <c r="E3" s="217"/>
      <c r="F3" s="183"/>
      <c r="G3" s="184"/>
      <c r="H3" s="184"/>
      <c r="I3" s="184"/>
      <c r="J3" s="184"/>
      <c r="K3" s="185"/>
      <c r="L3" s="168"/>
    </row>
    <row r="4" spans="1:39" s="22" customFormat="1" ht="22.5" hidden="1" customHeight="1" thickBot="1" x14ac:dyDescent="0.25">
      <c r="A4" s="213"/>
      <c r="B4" s="18"/>
      <c r="C4" s="19" t="s">
        <v>164</v>
      </c>
      <c r="D4" s="218">
        <v>44886</v>
      </c>
      <c r="E4" s="219"/>
      <c r="F4" s="186"/>
      <c r="G4" s="187"/>
      <c r="H4" s="187"/>
      <c r="I4" s="187"/>
      <c r="J4" s="187"/>
      <c r="K4" s="188"/>
      <c r="L4" s="169"/>
      <c r="M4" s="20"/>
      <c r="N4" s="20"/>
      <c r="O4" s="21"/>
      <c r="P4" s="21"/>
      <c r="Q4" s="21"/>
      <c r="R4" s="21"/>
      <c r="Y4" s="20"/>
      <c r="AM4" s="23">
        <f ca="1">TODAY()</f>
        <v>44886</v>
      </c>
    </row>
    <row r="5" spans="1:39" s="22" customFormat="1" ht="22.5" hidden="1" customHeight="1" x14ac:dyDescent="0.2">
      <c r="A5" s="123"/>
      <c r="B5" s="125"/>
      <c r="C5" s="126"/>
      <c r="D5" s="127"/>
      <c r="E5" s="127"/>
      <c r="F5" s="124"/>
      <c r="G5" s="124"/>
      <c r="H5" s="124"/>
      <c r="I5" s="124"/>
      <c r="J5" s="124"/>
      <c r="K5" s="124"/>
      <c r="L5" s="28"/>
      <c r="M5" s="20"/>
      <c r="N5" s="20"/>
      <c r="O5" s="21"/>
      <c r="P5" s="21"/>
      <c r="Q5" s="21"/>
      <c r="R5" s="21"/>
      <c r="Y5" s="20"/>
      <c r="AM5" s="29" t="s">
        <v>171</v>
      </c>
    </row>
    <row r="6" spans="1:39" s="22" customFormat="1" ht="22.5" hidden="1" customHeight="1" x14ac:dyDescent="0.2">
      <c r="A6" s="123"/>
      <c r="B6" s="125"/>
      <c r="C6" s="126"/>
      <c r="D6" s="127"/>
      <c r="E6" s="127"/>
      <c r="F6" s="124"/>
      <c r="G6" s="124"/>
      <c r="H6" s="124"/>
      <c r="I6" s="124"/>
      <c r="J6" s="124"/>
      <c r="K6" s="124"/>
      <c r="L6" s="28"/>
      <c r="M6" s="20"/>
      <c r="N6" s="20"/>
      <c r="O6" s="21"/>
      <c r="P6" s="21"/>
      <c r="Q6" s="21"/>
      <c r="R6" s="21"/>
      <c r="Y6" s="20"/>
      <c r="AM6" s="35" t="s">
        <v>172</v>
      </c>
    </row>
    <row r="7" spans="1:39" s="22" customFormat="1" ht="22.5" customHeight="1" thickBot="1" x14ac:dyDescent="0.25">
      <c r="A7" s="123"/>
      <c r="B7" s="125"/>
      <c r="C7" s="176" t="s">
        <v>6</v>
      </c>
      <c r="D7" s="176"/>
      <c r="E7" s="176"/>
      <c r="F7" s="176"/>
      <c r="G7" s="176"/>
      <c r="H7" s="176"/>
      <c r="I7" s="176"/>
      <c r="J7" s="176"/>
      <c r="K7" s="176"/>
      <c r="L7" s="28"/>
      <c r="M7" s="20"/>
      <c r="N7" s="20"/>
      <c r="O7" s="21"/>
      <c r="P7" s="21"/>
      <c r="Q7" s="21"/>
      <c r="R7" s="21"/>
      <c r="Y7" s="20"/>
      <c r="AM7" s="23"/>
    </row>
    <row r="8" spans="1:39" s="22" customFormat="1" ht="22.5" customHeight="1" x14ac:dyDescent="0.2">
      <c r="A8" s="123"/>
      <c r="B8" s="125"/>
      <c r="C8" s="170" t="str">
        <f ca="1">IF(AM4-D4&gt;=60,AM5,AM6)</f>
        <v>Les valeurs ont été mises à jour il y a moins de 60 jours.
Vous pouvez continuer à utiliser ce classeur.</v>
      </c>
      <c r="D8" s="171"/>
      <c r="E8" s="171"/>
      <c r="F8" s="171"/>
      <c r="G8" s="171"/>
      <c r="H8" s="171"/>
      <c r="I8" s="171"/>
      <c r="J8" s="171"/>
      <c r="K8" s="172"/>
      <c r="L8" s="28"/>
      <c r="M8" s="20"/>
      <c r="N8" s="20"/>
      <c r="O8" s="21"/>
      <c r="P8" s="21"/>
      <c r="Q8" s="21"/>
      <c r="R8" s="21"/>
      <c r="Y8" s="20"/>
      <c r="AM8" s="23"/>
    </row>
    <row r="9" spans="1:39" s="22" customFormat="1" ht="22.5" customHeight="1" thickBot="1" x14ac:dyDescent="0.25">
      <c r="A9" s="123"/>
      <c r="B9" s="125"/>
      <c r="C9" s="173"/>
      <c r="D9" s="174"/>
      <c r="E9" s="174"/>
      <c r="F9" s="174"/>
      <c r="G9" s="174"/>
      <c r="H9" s="174"/>
      <c r="I9" s="174"/>
      <c r="J9" s="174"/>
      <c r="K9" s="175"/>
      <c r="L9" s="28"/>
      <c r="M9" s="20"/>
      <c r="N9" s="20"/>
      <c r="O9" s="21"/>
      <c r="P9" s="21"/>
      <c r="Q9" s="21"/>
      <c r="R9" s="21"/>
      <c r="Y9" s="20"/>
      <c r="AM9" s="23"/>
    </row>
    <row r="10" spans="1:39" s="22" customFormat="1" ht="22.5" customHeight="1" thickBot="1" x14ac:dyDescent="0.25">
      <c r="A10" s="24"/>
      <c r="C10" s="25"/>
      <c r="D10" s="26"/>
      <c r="E10" s="26"/>
      <c r="F10" s="27"/>
      <c r="G10" s="27"/>
      <c r="H10" s="27"/>
      <c r="I10" s="27"/>
      <c r="J10" s="27"/>
      <c r="K10" s="27"/>
      <c r="L10" s="28"/>
      <c r="M10" s="20"/>
      <c r="N10" s="20"/>
      <c r="O10" s="21"/>
      <c r="P10" s="21"/>
      <c r="Q10" s="21"/>
      <c r="R10" s="21"/>
      <c r="Y10" s="20"/>
      <c r="AM10" s="23"/>
    </row>
    <row r="11" spans="1:39" s="30" customFormat="1" ht="22.5" customHeight="1" thickTop="1" x14ac:dyDescent="0.2">
      <c r="A11" s="197" t="s">
        <v>19</v>
      </c>
      <c r="C11" s="201" t="s">
        <v>8</v>
      </c>
      <c r="D11" s="204" t="s">
        <v>170</v>
      </c>
      <c r="E11" s="198" t="s">
        <v>7</v>
      </c>
      <c r="F11" s="199"/>
      <c r="G11" s="199"/>
      <c r="H11" s="199"/>
      <c r="I11" s="200"/>
      <c r="J11" s="207" t="s">
        <v>109</v>
      </c>
      <c r="K11" s="210" t="s">
        <v>110</v>
      </c>
      <c r="L11" s="31" t="s">
        <v>4</v>
      </c>
      <c r="M11" s="32" t="s">
        <v>12</v>
      </c>
      <c r="N11" s="32" t="s">
        <v>12</v>
      </c>
      <c r="O11" s="33"/>
      <c r="P11" s="33"/>
      <c r="Q11" s="33"/>
      <c r="R11" s="34"/>
      <c r="Y11" s="194" t="s">
        <v>15</v>
      </c>
      <c r="Z11" s="189"/>
    </row>
    <row r="12" spans="1:39" s="30" customFormat="1" ht="22.5" customHeight="1" x14ac:dyDescent="0.2">
      <c r="A12" s="197"/>
      <c r="C12" s="202"/>
      <c r="D12" s="205"/>
      <c r="E12" s="191" t="s">
        <v>9</v>
      </c>
      <c r="F12" s="177" t="s">
        <v>0</v>
      </c>
      <c r="G12" s="177" t="s">
        <v>1</v>
      </c>
      <c r="H12" s="177" t="s">
        <v>2</v>
      </c>
      <c r="I12" s="177" t="s">
        <v>3</v>
      </c>
      <c r="J12" s="208"/>
      <c r="K12" s="211"/>
      <c r="L12" s="36" t="s">
        <v>10</v>
      </c>
      <c r="M12" s="37" t="s">
        <v>13</v>
      </c>
      <c r="N12" s="37" t="s">
        <v>13</v>
      </c>
      <c r="O12" s="38"/>
      <c r="P12" s="38"/>
      <c r="Q12" s="38"/>
      <c r="R12" s="38"/>
      <c r="Y12" s="195"/>
      <c r="Z12" s="190"/>
    </row>
    <row r="13" spans="1:39" s="30" customFormat="1" ht="22.5" customHeight="1" x14ac:dyDescent="0.2">
      <c r="A13" s="197"/>
      <c r="C13" s="202"/>
      <c r="D13" s="205"/>
      <c r="E13" s="192"/>
      <c r="F13" s="178"/>
      <c r="G13" s="178"/>
      <c r="H13" s="178"/>
      <c r="I13" s="178"/>
      <c r="J13" s="208"/>
      <c r="K13" s="211"/>
      <c r="L13" s="36" t="s">
        <v>11</v>
      </c>
      <c r="M13" s="37" t="s">
        <v>10</v>
      </c>
      <c r="N13" s="37" t="s">
        <v>10</v>
      </c>
      <c r="O13" s="38" t="s">
        <v>0</v>
      </c>
      <c r="P13" s="38" t="s">
        <v>1</v>
      </c>
      <c r="Q13" s="38" t="s">
        <v>2</v>
      </c>
      <c r="R13" s="38" t="s">
        <v>3</v>
      </c>
      <c r="Y13" s="195"/>
      <c r="Z13" s="190"/>
    </row>
    <row r="14" spans="1:39" s="30" customFormat="1" ht="22.5" customHeight="1" x14ac:dyDescent="0.2">
      <c r="A14" s="197"/>
      <c r="C14" s="203"/>
      <c r="D14" s="206"/>
      <c r="E14" s="193"/>
      <c r="F14" s="179"/>
      <c r="G14" s="179"/>
      <c r="H14" s="179"/>
      <c r="I14" s="179"/>
      <c r="J14" s="209"/>
      <c r="K14" s="212"/>
      <c r="L14" s="39"/>
      <c r="M14" s="40" t="s">
        <v>5</v>
      </c>
      <c r="N14" s="40" t="s">
        <v>14</v>
      </c>
      <c r="O14" s="41"/>
      <c r="P14" s="41"/>
      <c r="Q14" s="41"/>
      <c r="R14" s="41"/>
      <c r="Y14" s="196"/>
      <c r="Z14" s="190"/>
    </row>
    <row r="15" spans="1:39" s="35" customFormat="1" ht="22.5" customHeight="1" x14ac:dyDescent="0.2">
      <c r="A15" s="24"/>
      <c r="C15" s="164" t="s">
        <v>111</v>
      </c>
      <c r="D15" s="165"/>
      <c r="E15" s="165"/>
      <c r="F15" s="165"/>
      <c r="G15" s="165"/>
      <c r="H15" s="165"/>
      <c r="I15" s="165"/>
      <c r="J15" s="165"/>
      <c r="K15" s="166"/>
      <c r="L15" s="42"/>
      <c r="M15" s="43"/>
      <c r="N15" s="43"/>
      <c r="O15" s="44"/>
      <c r="P15" s="44"/>
      <c r="Q15" s="44"/>
      <c r="R15" s="44"/>
      <c r="Y15" s="43"/>
    </row>
    <row r="16" spans="1:39" ht="22.5" customHeight="1" x14ac:dyDescent="0.2">
      <c r="A16" s="13">
        <v>1</v>
      </c>
      <c r="B16" s="14" t="s">
        <v>20</v>
      </c>
      <c r="C16" s="143" t="s">
        <v>39</v>
      </c>
      <c r="D16" s="144"/>
      <c r="E16" s="145">
        <v>850</v>
      </c>
      <c r="F16" s="146">
        <f t="shared" ref="F16:I20" si="0">+O16*$E16/1000</f>
        <v>370</v>
      </c>
      <c r="G16" s="145">
        <f t="shared" si="0"/>
        <v>12</v>
      </c>
      <c r="H16" s="145">
        <f t="shared" si="0"/>
        <v>-36</v>
      </c>
      <c r="I16" s="145">
        <f t="shared" si="0"/>
        <v>6</v>
      </c>
      <c r="J16" s="148">
        <f>((G16*2.2167*D$1+(F16-$G16*2.2167)*D$2)/1000+H16*D$3/(2.875))*IF(D16="  ",1,(100-D16)/100)</f>
        <v>124.03136702353046</v>
      </c>
      <c r="K16" s="149">
        <f>+J16*1000/F16</f>
        <v>335.21991087440665</v>
      </c>
      <c r="L16" s="47"/>
      <c r="M16" s="48" t="str">
        <f>IF(ISBLANK(L16),"",+K16-L16*1000/F16)</f>
        <v/>
      </c>
      <c r="N16" s="48" t="str">
        <f>IF(ISBLANK(L16),"",+J16-L16)</f>
        <v/>
      </c>
      <c r="O16" s="46">
        <v>435.29411764705884</v>
      </c>
      <c r="P16" s="46">
        <v>14.117647058823529</v>
      </c>
      <c r="Q16" s="46">
        <v>-42.352941176470587</v>
      </c>
      <c r="R16" s="46">
        <v>7.0588235294117645</v>
      </c>
      <c r="Y16" s="48" t="str">
        <f>IF(L16&gt;0,1000/F16,"")</f>
        <v/>
      </c>
      <c r="Z16" s="16"/>
    </row>
    <row r="17" spans="1:25" ht="22.5" customHeight="1" x14ac:dyDescent="0.2">
      <c r="A17" s="13">
        <f>+A16+1</f>
        <v>2</v>
      </c>
      <c r="B17" s="14" t="s">
        <v>20</v>
      </c>
      <c r="C17" s="143" t="s">
        <v>40</v>
      </c>
      <c r="D17" s="144"/>
      <c r="E17" s="145">
        <v>850</v>
      </c>
      <c r="F17" s="146">
        <f t="shared" si="0"/>
        <v>435</v>
      </c>
      <c r="G17" s="145">
        <f t="shared" si="0"/>
        <v>12</v>
      </c>
      <c r="H17" s="145">
        <f t="shared" si="0"/>
        <v>-36</v>
      </c>
      <c r="I17" s="145">
        <f t="shared" si="0"/>
        <v>6</v>
      </c>
      <c r="J17" s="148">
        <f>((G17*2.2167*D$1+(F17-$G17*2.2167)*D$2)/1000+H17*D$3/(2.875))*IF(D17="  ",1,(100-D17)/100)</f>
        <v>146.72449202353042</v>
      </c>
      <c r="K17" s="149">
        <f>+J17*1000/F17</f>
        <v>337.29768281271362</v>
      </c>
      <c r="L17" s="47"/>
      <c r="M17" s="48" t="str">
        <f t="shared" ref="M17:M67" si="1">IF(ISBLANK(L17),"",+K17-L17*1000/F17)</f>
        <v/>
      </c>
      <c r="N17" s="48" t="str">
        <f t="shared" ref="N17:N70" si="2">IF(ISBLANK(L17),"",+J17-L17)</f>
        <v/>
      </c>
      <c r="O17" s="46">
        <v>511.76470588235293</v>
      </c>
      <c r="P17" s="46">
        <v>14.117647058823529</v>
      </c>
      <c r="Q17" s="46">
        <v>-42.352941176470587</v>
      </c>
      <c r="R17" s="46">
        <v>7.0588235294117645</v>
      </c>
      <c r="Y17" s="48" t="str">
        <f t="shared" ref="Y17:Y71" si="3">IF(L17&gt;0,1000/F17,"")</f>
        <v/>
      </c>
    </row>
    <row r="18" spans="1:25" ht="22.5" customHeight="1" x14ac:dyDescent="0.2">
      <c r="A18" s="13">
        <f t="shared" ref="A18:A77" si="4">+A17+1</f>
        <v>3</v>
      </c>
      <c r="B18" s="14" t="s">
        <v>20</v>
      </c>
      <c r="C18" s="143" t="s">
        <v>41</v>
      </c>
      <c r="D18" s="144"/>
      <c r="E18" s="145">
        <v>850</v>
      </c>
      <c r="F18" s="146">
        <f t="shared" si="0"/>
        <v>445</v>
      </c>
      <c r="G18" s="145">
        <f t="shared" si="0"/>
        <v>13</v>
      </c>
      <c r="H18" s="145">
        <f t="shared" si="0"/>
        <v>-39</v>
      </c>
      <c r="I18" s="145">
        <f t="shared" si="0"/>
        <v>6</v>
      </c>
      <c r="J18" s="148">
        <f>((G18*2.2167*D$1+(F18-$G18*2.2167)*D$2)/1000+H18*D$3/(2.875))*IF(D18="  ",1,(100-D18)/100)</f>
        <v>149.78700177549132</v>
      </c>
      <c r="K18" s="149">
        <f>+J18*1000/F18</f>
        <v>336.60000398986813</v>
      </c>
      <c r="L18" s="47"/>
      <c r="M18" s="48" t="str">
        <f t="shared" si="1"/>
        <v/>
      </c>
      <c r="N18" s="48" t="str">
        <f t="shared" si="2"/>
        <v/>
      </c>
      <c r="O18" s="46">
        <v>523.52941176470586</v>
      </c>
      <c r="P18" s="46">
        <v>15.294117647058824</v>
      </c>
      <c r="Q18" s="46">
        <v>-45.882352941176471</v>
      </c>
      <c r="R18" s="46">
        <v>7.0588235294117645</v>
      </c>
      <c r="Y18" s="48" t="str">
        <f t="shared" si="3"/>
        <v/>
      </c>
    </row>
    <row r="19" spans="1:25" ht="22.5" customHeight="1" x14ac:dyDescent="0.2">
      <c r="A19" s="13">
        <f t="shared" si="4"/>
        <v>4</v>
      </c>
      <c r="B19" s="14" t="s">
        <v>20</v>
      </c>
      <c r="C19" s="143" t="s">
        <v>42</v>
      </c>
      <c r="D19" s="144"/>
      <c r="E19" s="145">
        <v>850</v>
      </c>
      <c r="F19" s="146">
        <f t="shared" si="0"/>
        <v>480.00000000000006</v>
      </c>
      <c r="G19" s="145">
        <f t="shared" si="0"/>
        <v>30.000000000000004</v>
      </c>
      <c r="H19" s="145">
        <f t="shared" si="0"/>
        <v>-20</v>
      </c>
      <c r="I19" s="145">
        <f t="shared" si="0"/>
        <v>20</v>
      </c>
      <c r="J19" s="148">
        <f>((G19*2.2167*D$1+(F19-$G19*2.2167)*D$2)/1000+H19*D$3/(2.875))*IF(D19="  ",1,(100-D19)/100)</f>
        <v>175.41344473273915</v>
      </c>
      <c r="K19" s="149">
        <f>+J19*1000/F19</f>
        <v>365.44467652653987</v>
      </c>
      <c r="L19" s="47"/>
      <c r="M19" s="48" t="str">
        <f t="shared" si="1"/>
        <v/>
      </c>
      <c r="N19" s="48" t="str">
        <f t="shared" si="2"/>
        <v/>
      </c>
      <c r="O19" s="46">
        <v>564.70588235294122</v>
      </c>
      <c r="P19" s="46">
        <v>35.294117647058826</v>
      </c>
      <c r="Q19" s="46">
        <v>-23.529411764705884</v>
      </c>
      <c r="R19" s="46">
        <v>23.529411764705884</v>
      </c>
      <c r="Y19" s="48" t="str">
        <f t="shared" si="3"/>
        <v/>
      </c>
    </row>
    <row r="20" spans="1:25" ht="22.5" customHeight="1" x14ac:dyDescent="0.2">
      <c r="A20" s="13">
        <f t="shared" si="4"/>
        <v>5</v>
      </c>
      <c r="B20" s="14" t="s">
        <v>20</v>
      </c>
      <c r="C20" s="143" t="s">
        <v>43</v>
      </c>
      <c r="D20" s="144"/>
      <c r="E20" s="145">
        <v>850</v>
      </c>
      <c r="F20" s="146">
        <f t="shared" si="0"/>
        <v>420</v>
      </c>
      <c r="G20" s="145">
        <f t="shared" si="0"/>
        <v>12</v>
      </c>
      <c r="H20" s="145">
        <f t="shared" si="0"/>
        <v>-35</v>
      </c>
      <c r="I20" s="145">
        <f t="shared" si="0"/>
        <v>50</v>
      </c>
      <c r="J20" s="148">
        <f>((G20*2.2167*D$1+(F20-$G20*2.2167)*D$2)/1000+H20*D$3/(2.875))*IF(D20="  ",1,(100-D20)/100)</f>
        <v>141.78326919744345</v>
      </c>
      <c r="K20" s="149">
        <f>+J20*1000/F20</f>
        <v>337.57921237486534</v>
      </c>
      <c r="L20" s="47"/>
      <c r="M20" s="48" t="str">
        <f t="shared" si="1"/>
        <v/>
      </c>
      <c r="N20" s="48" t="str">
        <f t="shared" si="2"/>
        <v/>
      </c>
      <c r="O20" s="46">
        <v>494.11764705882354</v>
      </c>
      <c r="P20" s="46">
        <v>14.117647058823529</v>
      </c>
      <c r="Q20" s="46">
        <v>-41.176470588235297</v>
      </c>
      <c r="R20" s="46">
        <v>58.823529411764703</v>
      </c>
      <c r="Y20" s="48" t="str">
        <f t="shared" si="3"/>
        <v/>
      </c>
    </row>
    <row r="21" spans="1:25" s="29" customFormat="1" ht="22.5" customHeight="1" x14ac:dyDescent="0.2">
      <c r="A21" s="13"/>
      <c r="B21" s="14"/>
      <c r="C21" s="158" t="s">
        <v>112</v>
      </c>
      <c r="D21" s="159"/>
      <c r="E21" s="159"/>
      <c r="F21" s="159"/>
      <c r="G21" s="159"/>
      <c r="H21" s="159"/>
      <c r="I21" s="159"/>
      <c r="J21" s="159"/>
      <c r="K21" s="160"/>
      <c r="L21" s="49"/>
      <c r="M21" s="50"/>
      <c r="N21" s="48"/>
      <c r="O21" s="51"/>
      <c r="P21" s="51"/>
      <c r="Q21" s="51"/>
      <c r="R21" s="51"/>
      <c r="Y21" s="48" t="str">
        <f t="shared" si="3"/>
        <v/>
      </c>
    </row>
    <row r="22" spans="1:25" ht="22.5" customHeight="1" x14ac:dyDescent="0.2">
      <c r="A22" s="13">
        <v>6</v>
      </c>
      <c r="B22" s="14" t="s">
        <v>23</v>
      </c>
      <c r="C22" s="143" t="s">
        <v>133</v>
      </c>
      <c r="D22" s="144"/>
      <c r="E22" s="146">
        <v>860</v>
      </c>
      <c r="F22" s="146">
        <f t="shared" ref="F22:I27" si="5">+O22*$E22/1000</f>
        <v>783</v>
      </c>
      <c r="G22" s="145">
        <f t="shared" si="5"/>
        <v>72</v>
      </c>
      <c r="H22" s="145">
        <f t="shared" si="5"/>
        <v>-10</v>
      </c>
      <c r="I22" s="145">
        <f t="shared" si="5"/>
        <v>90</v>
      </c>
      <c r="J22" s="148">
        <f t="shared" ref="J22:J36" si="6">((G22*2.2167*D$1+(F22-$G22*2.2167)*D$2)/1000+H22*D$3/(2.875))*IF(D22="  ",1,(100-D22)/100)</f>
        <v>303.39992496726956</v>
      </c>
      <c r="K22" s="149">
        <f t="shared" ref="K22:K27" si="7">+J22*1000/F22</f>
        <v>387.48393993265586</v>
      </c>
      <c r="L22" s="47"/>
      <c r="M22" s="48" t="str">
        <f t="shared" si="1"/>
        <v/>
      </c>
      <c r="N22" s="48" t="str">
        <f t="shared" si="2"/>
        <v/>
      </c>
      <c r="O22" s="46">
        <v>910.46511627906978</v>
      </c>
      <c r="P22" s="46">
        <v>83.720930232558146</v>
      </c>
      <c r="Q22" s="46">
        <v>-11.627906976744185</v>
      </c>
      <c r="R22" s="46">
        <v>104.65116279069767</v>
      </c>
      <c r="Y22" s="48" t="str">
        <f t="shared" si="3"/>
        <v/>
      </c>
    </row>
    <row r="23" spans="1:25" ht="22.5" customHeight="1" x14ac:dyDescent="0.2">
      <c r="A23" s="13">
        <f t="shared" si="4"/>
        <v>7</v>
      </c>
      <c r="B23" s="14" t="s">
        <v>23</v>
      </c>
      <c r="C23" s="143" t="s">
        <v>134</v>
      </c>
      <c r="D23" s="144"/>
      <c r="E23" s="146">
        <v>860</v>
      </c>
      <c r="F23" s="146">
        <f t="shared" si="5"/>
        <v>714</v>
      </c>
      <c r="G23" s="145">
        <f t="shared" si="5"/>
        <v>67</v>
      </c>
      <c r="H23" s="145">
        <f t="shared" si="5"/>
        <v>-6</v>
      </c>
      <c r="I23" s="145">
        <f t="shared" si="5"/>
        <v>80</v>
      </c>
      <c r="J23" s="148">
        <f t="shared" si="6"/>
        <v>278.20182729442172</v>
      </c>
      <c r="K23" s="149">
        <f t="shared" si="7"/>
        <v>389.63841357762146</v>
      </c>
      <c r="L23" s="47"/>
      <c r="M23" s="48" t="str">
        <f t="shared" si="1"/>
        <v/>
      </c>
      <c r="N23" s="48" t="str">
        <f t="shared" si="2"/>
        <v/>
      </c>
      <c r="O23" s="46">
        <v>830.23255813953483</v>
      </c>
      <c r="P23" s="46">
        <v>77.906976744186053</v>
      </c>
      <c r="Q23" s="46">
        <v>-6.9767441860465116</v>
      </c>
      <c r="R23" s="46">
        <v>93.023255813953483</v>
      </c>
      <c r="Y23" s="48" t="str">
        <f t="shared" si="3"/>
        <v/>
      </c>
    </row>
    <row r="24" spans="1:25" ht="22.5" customHeight="1" x14ac:dyDescent="0.2">
      <c r="A24" s="13">
        <f t="shared" si="4"/>
        <v>8</v>
      </c>
      <c r="B24" s="14" t="s">
        <v>23</v>
      </c>
      <c r="C24" s="143" t="s">
        <v>135</v>
      </c>
      <c r="D24" s="144"/>
      <c r="E24" s="146">
        <v>860</v>
      </c>
      <c r="F24" s="146">
        <f t="shared" si="5"/>
        <v>657</v>
      </c>
      <c r="G24" s="145">
        <f t="shared" si="5"/>
        <v>59.000000000000007</v>
      </c>
      <c r="H24" s="145">
        <f t="shared" si="5"/>
        <v>-10</v>
      </c>
      <c r="I24" s="145">
        <f t="shared" si="5"/>
        <v>70</v>
      </c>
      <c r="J24" s="148">
        <f t="shared" si="6"/>
        <v>253.45336340916958</v>
      </c>
      <c r="K24" s="149">
        <f t="shared" si="7"/>
        <v>385.77376470193235</v>
      </c>
      <c r="L24" s="47"/>
      <c r="M24" s="48" t="str">
        <f t="shared" si="1"/>
        <v/>
      </c>
      <c r="N24" s="48" t="str">
        <f t="shared" si="2"/>
        <v/>
      </c>
      <c r="O24" s="46">
        <v>763.95348837209303</v>
      </c>
      <c r="P24" s="46">
        <v>68.604651162790702</v>
      </c>
      <c r="Q24" s="46">
        <v>-11.627906976744185</v>
      </c>
      <c r="R24" s="46">
        <v>81.395348837209298</v>
      </c>
      <c r="Y24" s="48" t="str">
        <f t="shared" si="3"/>
        <v/>
      </c>
    </row>
    <row r="25" spans="1:25" ht="22.5" customHeight="1" x14ac:dyDescent="0.2">
      <c r="A25" s="13">
        <f t="shared" si="4"/>
        <v>9</v>
      </c>
      <c r="B25" s="14" t="s">
        <v>23</v>
      </c>
      <c r="C25" s="143" t="s">
        <v>136</v>
      </c>
      <c r="D25" s="144"/>
      <c r="E25" s="146">
        <v>860</v>
      </c>
      <c r="F25" s="146">
        <f t="shared" si="5"/>
        <v>602</v>
      </c>
      <c r="G25" s="145">
        <f t="shared" si="5"/>
        <v>58</v>
      </c>
      <c r="H25" s="145">
        <f t="shared" si="5"/>
        <v>-15</v>
      </c>
      <c r="I25" s="145">
        <f t="shared" si="5"/>
        <v>60</v>
      </c>
      <c r="J25" s="148">
        <f t="shared" si="6"/>
        <v>232.31501126590436</v>
      </c>
      <c r="K25" s="149">
        <f t="shared" si="7"/>
        <v>385.90533432874474</v>
      </c>
      <c r="L25" s="47"/>
      <c r="M25" s="48" t="str">
        <f t="shared" si="1"/>
        <v/>
      </c>
      <c r="N25" s="48" t="str">
        <f t="shared" si="2"/>
        <v/>
      </c>
      <c r="O25" s="46">
        <v>700</v>
      </c>
      <c r="P25" s="46">
        <v>67.441860465116278</v>
      </c>
      <c r="Q25" s="46">
        <v>-17.441860465116278</v>
      </c>
      <c r="R25" s="46">
        <v>69.767441860465112</v>
      </c>
      <c r="Y25" s="48" t="str">
        <f t="shared" si="3"/>
        <v/>
      </c>
    </row>
    <row r="26" spans="1:25" ht="22.5" customHeight="1" x14ac:dyDescent="0.2">
      <c r="A26" s="13">
        <f t="shared" si="4"/>
        <v>10</v>
      </c>
      <c r="B26" s="14" t="s">
        <v>23</v>
      </c>
      <c r="C26" s="143" t="s">
        <v>137</v>
      </c>
      <c r="D26" s="144"/>
      <c r="E26" s="146">
        <v>860</v>
      </c>
      <c r="F26" s="146">
        <f t="shared" si="5"/>
        <v>548</v>
      </c>
      <c r="G26" s="145">
        <f t="shared" si="5"/>
        <v>42</v>
      </c>
      <c r="H26" s="145">
        <f t="shared" si="5"/>
        <v>-19</v>
      </c>
      <c r="I26" s="145">
        <f t="shared" si="5"/>
        <v>50</v>
      </c>
      <c r="J26" s="148">
        <f t="shared" si="6"/>
        <v>204.94819219105216</v>
      </c>
      <c r="K26" s="149">
        <f t="shared" si="7"/>
        <v>373.99305144352587</v>
      </c>
      <c r="L26" s="47"/>
      <c r="M26" s="48" t="str">
        <f t="shared" si="1"/>
        <v/>
      </c>
      <c r="N26" s="48" t="str">
        <f t="shared" si="2"/>
        <v/>
      </c>
      <c r="O26" s="46">
        <v>637.20930232558135</v>
      </c>
      <c r="P26" s="46">
        <v>48.837209302325583</v>
      </c>
      <c r="Q26" s="46">
        <v>-22.093023255813954</v>
      </c>
      <c r="R26" s="46">
        <v>58.139534883720927</v>
      </c>
      <c r="Y26" s="48" t="str">
        <f t="shared" si="3"/>
        <v/>
      </c>
    </row>
    <row r="27" spans="1:25" ht="22.5" customHeight="1" x14ac:dyDescent="0.2">
      <c r="A27" s="13">
        <f t="shared" si="4"/>
        <v>11</v>
      </c>
      <c r="B27" s="14" t="s">
        <v>23</v>
      </c>
      <c r="C27" s="143" t="s">
        <v>138</v>
      </c>
      <c r="D27" s="144"/>
      <c r="E27" s="146">
        <v>860</v>
      </c>
      <c r="F27" s="146">
        <f t="shared" si="5"/>
        <v>495</v>
      </c>
      <c r="G27" s="145">
        <f t="shared" si="5"/>
        <v>34</v>
      </c>
      <c r="H27" s="145">
        <f t="shared" si="5"/>
        <v>-21</v>
      </c>
      <c r="I27" s="145">
        <f t="shared" si="5"/>
        <v>40</v>
      </c>
      <c r="J27" s="148">
        <f t="shared" si="6"/>
        <v>182.18753265362611</v>
      </c>
      <c r="K27" s="149">
        <f t="shared" si="7"/>
        <v>368.055621522477</v>
      </c>
      <c r="L27" s="47"/>
      <c r="M27" s="48" t="str">
        <f t="shared" si="1"/>
        <v/>
      </c>
      <c r="N27" s="48" t="str">
        <f t="shared" si="2"/>
        <v/>
      </c>
      <c r="O27" s="46">
        <v>575.58139534883719</v>
      </c>
      <c r="P27" s="46">
        <v>39.534883720930232</v>
      </c>
      <c r="Q27" s="46">
        <v>-24.418604651162791</v>
      </c>
      <c r="R27" s="46">
        <v>46.511627906976742</v>
      </c>
      <c r="Y27" s="48" t="str">
        <f t="shared" si="3"/>
        <v/>
      </c>
    </row>
    <row r="28" spans="1:25" ht="22.5" customHeight="1" x14ac:dyDescent="0.2">
      <c r="A28" s="13">
        <v>12</v>
      </c>
      <c r="B28" s="14" t="s">
        <v>22</v>
      </c>
      <c r="C28" s="143" t="s">
        <v>139</v>
      </c>
      <c r="D28" s="144"/>
      <c r="E28" s="146">
        <v>860</v>
      </c>
      <c r="F28" s="146">
        <f t="shared" ref="F28:F36" si="8">+O28*$E28/1000</f>
        <v>774</v>
      </c>
      <c r="G28" s="145">
        <f t="shared" ref="G28:G36" si="9">+P28*$E28/1000</f>
        <v>71</v>
      </c>
      <c r="H28" s="145">
        <f t="shared" ref="H28:H36" si="10">+Q28*$E28/1000</f>
        <v>-14</v>
      </c>
      <c r="I28" s="145">
        <f t="shared" ref="I28:I36" si="11">+R28*$E28/1000</f>
        <v>75</v>
      </c>
      <c r="J28" s="148">
        <f t="shared" si="6"/>
        <v>298.6169749979174</v>
      </c>
      <c r="K28" s="149">
        <f t="shared" ref="K28:K36" si="12">+J28*1000/F28</f>
        <v>385.81004521694757</v>
      </c>
      <c r="L28" s="47"/>
      <c r="M28" s="48" t="str">
        <f t="shared" si="1"/>
        <v/>
      </c>
      <c r="N28" s="48" t="str">
        <f t="shared" si="2"/>
        <v/>
      </c>
      <c r="O28" s="46">
        <v>900</v>
      </c>
      <c r="P28" s="46">
        <v>82.558139534883722</v>
      </c>
      <c r="Q28" s="46">
        <v>-16.279069767441861</v>
      </c>
      <c r="R28" s="46">
        <v>87.20930232558139</v>
      </c>
      <c r="Y28" s="48" t="str">
        <f t="shared" si="3"/>
        <v/>
      </c>
    </row>
    <row r="29" spans="1:25" ht="22.5" customHeight="1" x14ac:dyDescent="0.2">
      <c r="A29" s="13">
        <f t="shared" si="4"/>
        <v>13</v>
      </c>
      <c r="B29" s="14" t="s">
        <v>22</v>
      </c>
      <c r="C29" s="143" t="s">
        <v>140</v>
      </c>
      <c r="D29" s="144"/>
      <c r="E29" s="146">
        <v>860</v>
      </c>
      <c r="F29" s="146">
        <f t="shared" si="8"/>
        <v>714</v>
      </c>
      <c r="G29" s="145">
        <f t="shared" si="9"/>
        <v>64.000000000000014</v>
      </c>
      <c r="H29" s="145">
        <f t="shared" si="10"/>
        <v>-19</v>
      </c>
      <c r="I29" s="145">
        <f t="shared" si="11"/>
        <v>64.999999999999986</v>
      </c>
      <c r="J29" s="148">
        <f t="shared" si="6"/>
        <v>272.98370021245216</v>
      </c>
      <c r="K29" s="149">
        <f t="shared" si="12"/>
        <v>382.33011234236994</v>
      </c>
      <c r="L29" s="47"/>
      <c r="M29" s="48" t="str">
        <f t="shared" si="1"/>
        <v/>
      </c>
      <c r="N29" s="48" t="str">
        <f t="shared" si="2"/>
        <v/>
      </c>
      <c r="O29" s="46">
        <v>830.23255813953483</v>
      </c>
      <c r="P29" s="46">
        <v>74.418604651162795</v>
      </c>
      <c r="Q29" s="46">
        <v>-22.093023255813954</v>
      </c>
      <c r="R29" s="46">
        <v>75.581395348837205</v>
      </c>
      <c r="Y29" s="48" t="str">
        <f t="shared" si="3"/>
        <v/>
      </c>
    </row>
    <row r="30" spans="1:25" ht="22.5" customHeight="1" x14ac:dyDescent="0.2">
      <c r="A30" s="13">
        <f t="shared" si="4"/>
        <v>14</v>
      </c>
      <c r="B30" s="14" t="s">
        <v>22</v>
      </c>
      <c r="C30" s="143" t="s">
        <v>141</v>
      </c>
      <c r="D30" s="144"/>
      <c r="E30" s="146">
        <v>860</v>
      </c>
      <c r="F30" s="146">
        <f t="shared" si="8"/>
        <v>658</v>
      </c>
      <c r="G30" s="145">
        <f t="shared" si="9"/>
        <v>55</v>
      </c>
      <c r="H30" s="145">
        <f t="shared" si="10"/>
        <v>-23</v>
      </c>
      <c r="I30" s="145">
        <f t="shared" si="11"/>
        <v>55</v>
      </c>
      <c r="J30" s="148">
        <f t="shared" si="6"/>
        <v>248.12614505350001</v>
      </c>
      <c r="K30" s="149">
        <f t="shared" si="12"/>
        <v>377.09140585638301</v>
      </c>
      <c r="L30" s="47"/>
      <c r="M30" s="48" t="str">
        <f t="shared" si="1"/>
        <v/>
      </c>
      <c r="N30" s="48" t="str">
        <f t="shared" si="2"/>
        <v/>
      </c>
      <c r="O30" s="46">
        <v>765.11627906976742</v>
      </c>
      <c r="P30" s="46">
        <v>63.953488372093027</v>
      </c>
      <c r="Q30" s="46">
        <v>-26.744186046511629</v>
      </c>
      <c r="R30" s="46">
        <v>63.953488372093027</v>
      </c>
      <c r="Y30" s="48" t="str">
        <f t="shared" si="3"/>
        <v/>
      </c>
    </row>
    <row r="31" spans="1:25" ht="22.5" customHeight="1" x14ac:dyDescent="0.2">
      <c r="A31" s="13">
        <f t="shared" si="4"/>
        <v>15</v>
      </c>
      <c r="B31" s="14" t="s">
        <v>22</v>
      </c>
      <c r="C31" s="143" t="s">
        <v>142</v>
      </c>
      <c r="D31" s="144"/>
      <c r="E31" s="146">
        <v>860</v>
      </c>
      <c r="F31" s="146">
        <f t="shared" si="8"/>
        <v>602</v>
      </c>
      <c r="G31" s="145">
        <f t="shared" si="9"/>
        <v>47</v>
      </c>
      <c r="H31" s="145">
        <f t="shared" si="10"/>
        <v>-27</v>
      </c>
      <c r="I31" s="145">
        <f t="shared" si="11"/>
        <v>45</v>
      </c>
      <c r="J31" s="148">
        <f t="shared" si="6"/>
        <v>223.7268061682478</v>
      </c>
      <c r="K31" s="149">
        <f t="shared" si="12"/>
        <v>371.63921290406608</v>
      </c>
      <c r="L31" s="47"/>
      <c r="M31" s="48" t="str">
        <f t="shared" si="1"/>
        <v/>
      </c>
      <c r="N31" s="48" t="str">
        <f t="shared" si="2"/>
        <v/>
      </c>
      <c r="O31" s="46">
        <v>700</v>
      </c>
      <c r="P31" s="46">
        <v>54.651162790697676</v>
      </c>
      <c r="Q31" s="46">
        <v>-31.395348837209301</v>
      </c>
      <c r="R31" s="46">
        <v>52.325581395348834</v>
      </c>
      <c r="Y31" s="48" t="str">
        <f t="shared" si="3"/>
        <v/>
      </c>
    </row>
    <row r="32" spans="1:25" ht="22.5" customHeight="1" x14ac:dyDescent="0.2">
      <c r="A32" s="13">
        <f t="shared" si="4"/>
        <v>16</v>
      </c>
      <c r="B32" s="14" t="s">
        <v>22</v>
      </c>
      <c r="C32" s="143" t="s">
        <v>143</v>
      </c>
      <c r="D32" s="144"/>
      <c r="E32" s="146">
        <v>860</v>
      </c>
      <c r="F32" s="146">
        <f t="shared" si="8"/>
        <v>548</v>
      </c>
      <c r="G32" s="145">
        <f t="shared" si="9"/>
        <v>39</v>
      </c>
      <c r="H32" s="145">
        <f t="shared" si="10"/>
        <v>-29</v>
      </c>
      <c r="I32" s="145">
        <f t="shared" si="11"/>
        <v>35</v>
      </c>
      <c r="J32" s="148">
        <f t="shared" si="6"/>
        <v>200.61702163082174</v>
      </c>
      <c r="K32" s="149">
        <f t="shared" si="12"/>
        <v>366.08945553069663</v>
      </c>
      <c r="L32" s="47"/>
      <c r="M32" s="48" t="str">
        <f t="shared" si="1"/>
        <v/>
      </c>
      <c r="N32" s="48" t="str">
        <f t="shared" si="2"/>
        <v/>
      </c>
      <c r="O32" s="46">
        <v>637.20930232558135</v>
      </c>
      <c r="P32" s="46">
        <v>45.348837209302324</v>
      </c>
      <c r="Q32" s="46">
        <v>-33.720930232558139</v>
      </c>
      <c r="R32" s="46">
        <v>40.697674418604649</v>
      </c>
      <c r="Y32" s="48" t="str">
        <f t="shared" si="3"/>
        <v/>
      </c>
    </row>
    <row r="33" spans="1:25" ht="22.5" customHeight="1" x14ac:dyDescent="0.2">
      <c r="A33" s="13">
        <f t="shared" si="4"/>
        <v>17</v>
      </c>
      <c r="B33" s="14" t="s">
        <v>22</v>
      </c>
      <c r="C33" s="143" t="s">
        <v>144</v>
      </c>
      <c r="D33" s="144"/>
      <c r="E33" s="146">
        <v>860</v>
      </c>
      <c r="F33" s="146">
        <f t="shared" si="8"/>
        <v>495</v>
      </c>
      <c r="G33" s="145">
        <f t="shared" si="9"/>
        <v>29</v>
      </c>
      <c r="H33" s="145">
        <f t="shared" si="10"/>
        <v>-32.000000000000007</v>
      </c>
      <c r="I33" s="145">
        <f t="shared" si="11"/>
        <v>25</v>
      </c>
      <c r="J33" s="148">
        <f t="shared" si="6"/>
        <v>176.64427737208263</v>
      </c>
      <c r="K33" s="149">
        <f t="shared" si="12"/>
        <v>356.85712600420737</v>
      </c>
      <c r="L33" s="47"/>
      <c r="M33" s="48" t="str">
        <f t="shared" si="1"/>
        <v/>
      </c>
      <c r="N33" s="48" t="str">
        <f t="shared" si="2"/>
        <v/>
      </c>
      <c r="O33" s="46">
        <v>575.58139534883719</v>
      </c>
      <c r="P33" s="46">
        <v>33.720930232558139</v>
      </c>
      <c r="Q33" s="46">
        <v>-37.209302325581397</v>
      </c>
      <c r="R33" s="46">
        <v>29.069767441860463</v>
      </c>
      <c r="Y33" s="48" t="str">
        <f t="shared" si="3"/>
        <v/>
      </c>
    </row>
    <row r="34" spans="1:25" ht="22.5" customHeight="1" x14ac:dyDescent="0.2">
      <c r="A34" s="13">
        <f t="shared" si="4"/>
        <v>18</v>
      </c>
      <c r="B34" s="14" t="s">
        <v>21</v>
      </c>
      <c r="C34" s="143" t="s">
        <v>44</v>
      </c>
      <c r="D34" s="144"/>
      <c r="E34" s="146">
        <v>860</v>
      </c>
      <c r="F34" s="146">
        <f t="shared" si="8"/>
        <v>600</v>
      </c>
      <c r="G34" s="145">
        <f t="shared" si="9"/>
        <v>54</v>
      </c>
      <c r="H34" s="145">
        <f t="shared" si="10"/>
        <v>39</v>
      </c>
      <c r="I34" s="145">
        <f t="shared" si="11"/>
        <v>103</v>
      </c>
      <c r="J34" s="148">
        <f t="shared" si="6"/>
        <v>245.7491135624087</v>
      </c>
      <c r="K34" s="149">
        <f t="shared" si="12"/>
        <v>409.58185593734783</v>
      </c>
      <c r="L34" s="47"/>
      <c r="M34" s="48" t="str">
        <f t="shared" si="1"/>
        <v/>
      </c>
      <c r="N34" s="48" t="str">
        <f t="shared" si="2"/>
        <v/>
      </c>
      <c r="O34" s="46">
        <v>697.67441860465112</v>
      </c>
      <c r="P34" s="46">
        <v>62.790697674418603</v>
      </c>
      <c r="Q34" s="46">
        <v>45.348837209302324</v>
      </c>
      <c r="R34" s="46">
        <v>119.76744186046511</v>
      </c>
      <c r="Y34" s="48" t="str">
        <f t="shared" si="3"/>
        <v/>
      </c>
    </row>
    <row r="35" spans="1:25" ht="22.5" customHeight="1" x14ac:dyDescent="0.2">
      <c r="A35" s="13">
        <f t="shared" si="4"/>
        <v>19</v>
      </c>
      <c r="B35" s="14" t="s">
        <v>21</v>
      </c>
      <c r="C35" s="143" t="s">
        <v>45</v>
      </c>
      <c r="D35" s="144"/>
      <c r="E35" s="146">
        <v>860</v>
      </c>
      <c r="F35" s="146">
        <f t="shared" si="8"/>
        <v>500</v>
      </c>
      <c r="G35" s="145">
        <f t="shared" si="9"/>
        <v>35</v>
      </c>
      <c r="H35" s="145">
        <f t="shared" si="10"/>
        <v>18</v>
      </c>
      <c r="I35" s="145">
        <f t="shared" si="11"/>
        <v>64.999999999999986</v>
      </c>
      <c r="J35" s="148">
        <f t="shared" si="6"/>
        <v>195.92180870993479</v>
      </c>
      <c r="K35" s="149">
        <f t="shared" si="12"/>
        <v>391.84361741986959</v>
      </c>
      <c r="L35" s="47"/>
      <c r="M35" s="48" t="str">
        <f t="shared" si="1"/>
        <v/>
      </c>
      <c r="N35" s="48" t="str">
        <f t="shared" si="2"/>
        <v/>
      </c>
      <c r="O35" s="46">
        <v>581.39534883720933</v>
      </c>
      <c r="P35" s="46">
        <v>40.697674418604649</v>
      </c>
      <c r="Q35" s="46">
        <v>20.930232558139537</v>
      </c>
      <c r="R35" s="46">
        <v>75.581395348837205</v>
      </c>
      <c r="Y35" s="48" t="str">
        <f t="shared" si="3"/>
        <v/>
      </c>
    </row>
    <row r="36" spans="1:25" ht="22.5" customHeight="1" x14ac:dyDescent="0.2">
      <c r="A36" s="13">
        <f t="shared" si="4"/>
        <v>20</v>
      </c>
      <c r="B36" s="14" t="s">
        <v>21</v>
      </c>
      <c r="C36" s="143" t="s">
        <v>46</v>
      </c>
      <c r="D36" s="144"/>
      <c r="E36" s="146">
        <v>860</v>
      </c>
      <c r="F36" s="146">
        <f t="shared" si="8"/>
        <v>450.00000000000006</v>
      </c>
      <c r="G36" s="145">
        <f t="shared" si="9"/>
        <v>27</v>
      </c>
      <c r="H36" s="145">
        <f t="shared" si="10"/>
        <v>-9</v>
      </c>
      <c r="I36" s="145">
        <f t="shared" si="11"/>
        <v>60</v>
      </c>
      <c r="J36" s="148">
        <f t="shared" si="6"/>
        <v>166.81721982468267</v>
      </c>
      <c r="K36" s="149">
        <f t="shared" si="12"/>
        <v>370.70493294373921</v>
      </c>
      <c r="L36" s="47"/>
      <c r="M36" s="48" t="str">
        <f t="shared" si="1"/>
        <v/>
      </c>
      <c r="N36" s="48" t="str">
        <f t="shared" si="2"/>
        <v/>
      </c>
      <c r="O36" s="46">
        <v>523.25581395348843</v>
      </c>
      <c r="P36" s="46">
        <v>31.395348837209301</v>
      </c>
      <c r="Q36" s="46">
        <v>-10.465116279069768</v>
      </c>
      <c r="R36" s="46">
        <v>69.767441860465112</v>
      </c>
      <c r="Y36" s="48" t="str">
        <f t="shared" si="3"/>
        <v/>
      </c>
    </row>
    <row r="37" spans="1:25" ht="22.5" customHeight="1" x14ac:dyDescent="0.2">
      <c r="C37" s="158" t="s">
        <v>113</v>
      </c>
      <c r="D37" s="159"/>
      <c r="E37" s="159"/>
      <c r="F37" s="159"/>
      <c r="G37" s="159"/>
      <c r="H37" s="159"/>
      <c r="I37" s="159"/>
      <c r="J37" s="159"/>
      <c r="K37" s="160"/>
      <c r="L37" s="52"/>
      <c r="M37" s="53"/>
      <c r="N37" s="48"/>
      <c r="O37" s="54"/>
      <c r="P37" s="54"/>
      <c r="Q37" s="54"/>
      <c r="R37" s="54"/>
      <c r="Y37" s="48" t="str">
        <f t="shared" si="3"/>
        <v/>
      </c>
    </row>
    <row r="38" spans="1:25" ht="22.5" customHeight="1" x14ac:dyDescent="0.2">
      <c r="A38" s="13">
        <v>21</v>
      </c>
      <c r="B38" s="14" t="s">
        <v>24</v>
      </c>
      <c r="C38" s="143" t="s">
        <v>47</v>
      </c>
      <c r="D38" s="144"/>
      <c r="E38" s="145">
        <v>160</v>
      </c>
      <c r="F38" s="146">
        <f t="shared" ref="F38:I39" si="13">+O38*$E38/1000</f>
        <v>144</v>
      </c>
      <c r="G38" s="145">
        <f t="shared" si="13"/>
        <v>15</v>
      </c>
      <c r="H38" s="145">
        <f t="shared" si="13"/>
        <v>2</v>
      </c>
      <c r="I38" s="145">
        <f t="shared" si="13"/>
        <v>20</v>
      </c>
      <c r="J38" s="148">
        <f>((G38*2.2167*D$1+(F38-$G38*2.2167)*D$2)/1000+H38*D$3/(2.875))*IF(D38="  ",1,(100-D38)/100)</f>
        <v>57.738548453326089</v>
      </c>
      <c r="K38" s="149">
        <f>+J38*1000/F38</f>
        <v>400.96214203698673</v>
      </c>
      <c r="L38" s="47"/>
      <c r="M38" s="48" t="str">
        <f t="shared" si="1"/>
        <v/>
      </c>
      <c r="N38" s="48" t="str">
        <f t="shared" si="2"/>
        <v/>
      </c>
      <c r="O38" s="46">
        <v>900</v>
      </c>
      <c r="P38" s="46">
        <v>93.75</v>
      </c>
      <c r="Q38" s="46">
        <v>12.5</v>
      </c>
      <c r="R38" s="46">
        <v>125</v>
      </c>
      <c r="Y38" s="48" t="str">
        <f t="shared" si="3"/>
        <v/>
      </c>
    </row>
    <row r="39" spans="1:25" ht="22.5" customHeight="1" x14ac:dyDescent="0.2">
      <c r="A39" s="13">
        <f t="shared" si="4"/>
        <v>22</v>
      </c>
      <c r="B39" s="14" t="s">
        <v>24</v>
      </c>
      <c r="C39" s="143" t="s">
        <v>48</v>
      </c>
      <c r="D39" s="144"/>
      <c r="E39" s="145">
        <v>120</v>
      </c>
      <c r="F39" s="146">
        <f t="shared" si="13"/>
        <v>120</v>
      </c>
      <c r="G39" s="145">
        <f t="shared" si="13"/>
        <v>10</v>
      </c>
      <c r="H39" s="145">
        <f t="shared" si="13"/>
        <v>5</v>
      </c>
      <c r="I39" s="145">
        <f t="shared" si="13"/>
        <v>17</v>
      </c>
      <c r="J39" s="148">
        <f>((G39*2.2167*D$1+(F39-$G39*2.2167)*D$2)/1000+H39*D$3/(2.875))*IF(D39="  ",1,(100-D39)/100)</f>
        <v>47.955423606565219</v>
      </c>
      <c r="K39" s="149">
        <f>+J39*1000/F39</f>
        <v>399.62853005471021</v>
      </c>
      <c r="L39" s="47"/>
      <c r="M39" s="48" t="str">
        <f t="shared" si="1"/>
        <v/>
      </c>
      <c r="N39" s="48" t="str">
        <f t="shared" si="2"/>
        <v/>
      </c>
      <c r="O39" s="46">
        <v>1000</v>
      </c>
      <c r="P39" s="46">
        <v>83.333333333333329</v>
      </c>
      <c r="Q39" s="46">
        <v>41.666666666666664</v>
      </c>
      <c r="R39" s="46">
        <v>141.66666666666666</v>
      </c>
      <c r="Y39" s="48" t="str">
        <f t="shared" si="3"/>
        <v/>
      </c>
    </row>
    <row r="40" spans="1:25" s="29" customFormat="1" ht="22.5" customHeight="1" x14ac:dyDescent="0.2">
      <c r="A40" s="13"/>
      <c r="B40" s="14"/>
      <c r="C40" s="158" t="s">
        <v>114</v>
      </c>
      <c r="D40" s="159"/>
      <c r="E40" s="159"/>
      <c r="F40" s="159"/>
      <c r="G40" s="159"/>
      <c r="H40" s="159"/>
      <c r="I40" s="159"/>
      <c r="J40" s="159"/>
      <c r="K40" s="160"/>
      <c r="L40" s="42"/>
      <c r="M40" s="43"/>
      <c r="N40" s="48"/>
      <c r="O40" s="44"/>
      <c r="P40" s="44"/>
      <c r="Q40" s="44"/>
      <c r="R40" s="44"/>
      <c r="Y40" s="48" t="str">
        <f t="shared" si="3"/>
        <v/>
      </c>
    </row>
    <row r="41" spans="1:25" ht="22.5" customHeight="1" x14ac:dyDescent="0.2">
      <c r="A41" s="13">
        <v>23</v>
      </c>
      <c r="B41" s="14" t="s">
        <v>25</v>
      </c>
      <c r="C41" s="143" t="s">
        <v>145</v>
      </c>
      <c r="D41" s="144">
        <v>25</v>
      </c>
      <c r="E41" s="146">
        <v>180</v>
      </c>
      <c r="F41" s="146">
        <f t="shared" ref="F41:I47" si="14">+O41*$E41/1000</f>
        <v>141</v>
      </c>
      <c r="G41" s="145">
        <f t="shared" si="14"/>
        <v>8.82</v>
      </c>
      <c r="H41" s="145">
        <f t="shared" si="14"/>
        <v>12.42</v>
      </c>
      <c r="I41" s="145">
        <f t="shared" si="14"/>
        <v>18</v>
      </c>
      <c r="J41" s="148">
        <f t="shared" ref="J41:J65" si="15">((G41*2.2167*D$1+(F41-$G41*2.2167)*D$2)/1000+H41*D$3/(2.875))*IF(D41="  ",1,(100-D41)/100)</f>
        <v>42.705069400525502</v>
      </c>
      <c r="K41" s="149">
        <f t="shared" ref="K41:K47" si="16">+J41*1000/F41</f>
        <v>302.87283262784041</v>
      </c>
      <c r="L41" s="47"/>
      <c r="M41" s="48" t="str">
        <f t="shared" si="1"/>
        <v/>
      </c>
      <c r="N41" s="48" t="str">
        <f t="shared" si="2"/>
        <v/>
      </c>
      <c r="O41" s="46">
        <v>783.33333333333337</v>
      </c>
      <c r="P41" s="46">
        <v>49</v>
      </c>
      <c r="Q41" s="46">
        <v>69</v>
      </c>
      <c r="R41" s="46">
        <v>100</v>
      </c>
      <c r="Y41" s="48" t="str">
        <f t="shared" si="3"/>
        <v/>
      </c>
    </row>
    <row r="42" spans="1:25" ht="22.5" customHeight="1" x14ac:dyDescent="0.2">
      <c r="A42" s="13">
        <f t="shared" si="4"/>
        <v>24</v>
      </c>
      <c r="B42" s="14" t="s">
        <v>25</v>
      </c>
      <c r="C42" s="143" t="s">
        <v>146</v>
      </c>
      <c r="D42" s="144">
        <v>21</v>
      </c>
      <c r="E42" s="146">
        <v>210</v>
      </c>
      <c r="F42" s="146">
        <f t="shared" si="14"/>
        <v>163.80000000000001</v>
      </c>
      <c r="G42" s="145">
        <f t="shared" si="14"/>
        <v>10.71</v>
      </c>
      <c r="H42" s="145">
        <f t="shared" si="14"/>
        <v>14.07</v>
      </c>
      <c r="I42" s="145">
        <f t="shared" si="14"/>
        <v>21</v>
      </c>
      <c r="J42" s="148">
        <f t="shared" si="15"/>
        <v>52.340657928843989</v>
      </c>
      <c r="K42" s="149">
        <f t="shared" si="16"/>
        <v>319.54003619562872</v>
      </c>
      <c r="L42" s="47"/>
      <c r="M42" s="48" t="str">
        <f t="shared" si="1"/>
        <v/>
      </c>
      <c r="N42" s="48" t="str">
        <f t="shared" si="2"/>
        <v/>
      </c>
      <c r="O42" s="46">
        <v>780</v>
      </c>
      <c r="P42" s="46">
        <v>51</v>
      </c>
      <c r="Q42" s="46">
        <v>67</v>
      </c>
      <c r="R42" s="46">
        <v>100</v>
      </c>
      <c r="Y42" s="48" t="str">
        <f t="shared" si="3"/>
        <v/>
      </c>
    </row>
    <row r="43" spans="1:25" ht="22.5" customHeight="1" x14ac:dyDescent="0.2">
      <c r="A43" s="13">
        <f t="shared" si="4"/>
        <v>25</v>
      </c>
      <c r="B43" s="14" t="s">
        <v>25</v>
      </c>
      <c r="C43" s="143" t="s">
        <v>147</v>
      </c>
      <c r="D43" s="144">
        <v>18</v>
      </c>
      <c r="E43" s="146">
        <v>270</v>
      </c>
      <c r="F43" s="146">
        <f t="shared" si="14"/>
        <v>210.06</v>
      </c>
      <c r="G43" s="145">
        <f t="shared" si="14"/>
        <v>14.85</v>
      </c>
      <c r="H43" s="145">
        <f t="shared" si="14"/>
        <v>17.010000000000002</v>
      </c>
      <c r="I43" s="145">
        <f t="shared" si="14"/>
        <v>27</v>
      </c>
      <c r="J43" s="148">
        <f t="shared" si="15"/>
        <v>69.840017167018814</v>
      </c>
      <c r="K43" s="149">
        <f t="shared" si="16"/>
        <v>332.47651702855762</v>
      </c>
      <c r="L43" s="47"/>
      <c r="M43" s="48" t="str">
        <f t="shared" si="1"/>
        <v/>
      </c>
      <c r="N43" s="48" t="str">
        <f t="shared" si="2"/>
        <v/>
      </c>
      <c r="O43" s="46">
        <v>778</v>
      </c>
      <c r="P43" s="46">
        <v>55</v>
      </c>
      <c r="Q43" s="46">
        <v>63</v>
      </c>
      <c r="R43" s="46">
        <v>100</v>
      </c>
      <c r="Y43" s="48" t="str">
        <f t="shared" si="3"/>
        <v/>
      </c>
    </row>
    <row r="44" spans="1:25" ht="22.5" customHeight="1" x14ac:dyDescent="0.2">
      <c r="A44" s="13">
        <f t="shared" si="4"/>
        <v>26</v>
      </c>
      <c r="B44" s="14" t="s">
        <v>25</v>
      </c>
      <c r="C44" s="143" t="s">
        <v>148</v>
      </c>
      <c r="D44" s="144">
        <v>16</v>
      </c>
      <c r="E44" s="146">
        <v>350</v>
      </c>
      <c r="F44" s="146">
        <f t="shared" si="14"/>
        <v>266.7</v>
      </c>
      <c r="G44" s="145">
        <f t="shared" si="14"/>
        <v>21</v>
      </c>
      <c r="H44" s="145">
        <f t="shared" si="14"/>
        <v>20.3</v>
      </c>
      <c r="I44" s="145">
        <f t="shared" si="14"/>
        <v>35</v>
      </c>
      <c r="J44" s="148">
        <f t="shared" si="15"/>
        <v>91.338171437633221</v>
      </c>
      <c r="K44" s="149">
        <f t="shared" si="16"/>
        <v>342.47533347444028</v>
      </c>
      <c r="L44" s="47"/>
      <c r="M44" s="48" t="str">
        <f t="shared" si="1"/>
        <v/>
      </c>
      <c r="N44" s="48" t="str">
        <f t="shared" si="2"/>
        <v/>
      </c>
      <c r="O44" s="46">
        <v>762</v>
      </c>
      <c r="P44" s="46">
        <v>60</v>
      </c>
      <c r="Q44" s="46">
        <v>58</v>
      </c>
      <c r="R44" s="46">
        <v>100</v>
      </c>
      <c r="Y44" s="48" t="str">
        <f t="shared" si="3"/>
        <v/>
      </c>
    </row>
    <row r="45" spans="1:25" ht="22.5" customHeight="1" x14ac:dyDescent="0.2">
      <c r="A45" s="13">
        <f t="shared" si="4"/>
        <v>27</v>
      </c>
      <c r="B45" s="14" t="s">
        <v>25</v>
      </c>
      <c r="C45" s="143" t="s">
        <v>149</v>
      </c>
      <c r="D45" s="144">
        <v>14</v>
      </c>
      <c r="E45" s="146">
        <v>450</v>
      </c>
      <c r="F45" s="146">
        <f t="shared" si="14"/>
        <v>346.5</v>
      </c>
      <c r="G45" s="145">
        <f t="shared" si="14"/>
        <v>29.7</v>
      </c>
      <c r="H45" s="145">
        <f t="shared" si="14"/>
        <v>22.95</v>
      </c>
      <c r="I45" s="145">
        <f t="shared" si="14"/>
        <v>45</v>
      </c>
      <c r="J45" s="148">
        <f t="shared" si="15"/>
        <v>121.57480576936713</v>
      </c>
      <c r="K45" s="149">
        <f t="shared" si="16"/>
        <v>350.86524031563386</v>
      </c>
      <c r="L45" s="47"/>
      <c r="M45" s="48" t="str">
        <f t="shared" si="1"/>
        <v/>
      </c>
      <c r="N45" s="48" t="str">
        <f t="shared" si="2"/>
        <v/>
      </c>
      <c r="O45" s="46">
        <v>770</v>
      </c>
      <c r="P45" s="46">
        <v>66</v>
      </c>
      <c r="Q45" s="46">
        <v>51</v>
      </c>
      <c r="R45" s="46">
        <v>100</v>
      </c>
      <c r="Y45" s="48" t="str">
        <f t="shared" si="3"/>
        <v/>
      </c>
    </row>
    <row r="46" spans="1:25" ht="22.5" customHeight="1" x14ac:dyDescent="0.2">
      <c r="A46" s="13">
        <f t="shared" si="4"/>
        <v>28</v>
      </c>
      <c r="B46" s="14" t="s">
        <v>25</v>
      </c>
      <c r="C46" s="143" t="s">
        <v>150</v>
      </c>
      <c r="D46" s="144">
        <v>12</v>
      </c>
      <c r="E46" s="146">
        <v>550</v>
      </c>
      <c r="F46" s="146">
        <f t="shared" si="14"/>
        <v>421.3</v>
      </c>
      <c r="G46" s="145">
        <f t="shared" si="14"/>
        <v>40.15</v>
      </c>
      <c r="H46" s="145">
        <f t="shared" si="14"/>
        <v>24.2</v>
      </c>
      <c r="I46" s="145">
        <f t="shared" si="14"/>
        <v>55</v>
      </c>
      <c r="J46" s="148">
        <f t="shared" si="15"/>
        <v>151.92190507802061</v>
      </c>
      <c r="K46" s="149">
        <f t="shared" si="16"/>
        <v>360.60267049138525</v>
      </c>
      <c r="L46" s="47"/>
      <c r="M46" s="48" t="str">
        <f t="shared" si="1"/>
        <v/>
      </c>
      <c r="N46" s="48" t="str">
        <f t="shared" si="2"/>
        <v/>
      </c>
      <c r="O46" s="46">
        <v>766</v>
      </c>
      <c r="P46" s="46">
        <v>73</v>
      </c>
      <c r="Q46" s="46">
        <v>44</v>
      </c>
      <c r="R46" s="46">
        <v>100</v>
      </c>
      <c r="Y46" s="48" t="str">
        <f t="shared" si="3"/>
        <v/>
      </c>
    </row>
    <row r="47" spans="1:25" ht="22.5" customHeight="1" x14ac:dyDescent="0.2">
      <c r="A47" s="13">
        <f t="shared" si="4"/>
        <v>29</v>
      </c>
      <c r="B47" s="14" t="s">
        <v>25</v>
      </c>
      <c r="C47" s="143" t="s">
        <v>151</v>
      </c>
      <c r="D47" s="144">
        <v>10</v>
      </c>
      <c r="E47" s="146">
        <v>650</v>
      </c>
      <c r="F47" s="146">
        <f t="shared" si="14"/>
        <v>494</v>
      </c>
      <c r="G47" s="145">
        <f t="shared" si="14"/>
        <v>49.4</v>
      </c>
      <c r="H47" s="145">
        <f t="shared" si="14"/>
        <v>26.65</v>
      </c>
      <c r="I47" s="145">
        <f t="shared" si="14"/>
        <v>65</v>
      </c>
      <c r="J47" s="148">
        <f t="shared" si="15"/>
        <v>182.68448792000635</v>
      </c>
      <c r="K47" s="149">
        <f t="shared" si="16"/>
        <v>369.80665570851488</v>
      </c>
      <c r="L47" s="47"/>
      <c r="M47" s="48" t="str">
        <f t="shared" si="1"/>
        <v/>
      </c>
      <c r="N47" s="48" t="str">
        <f t="shared" si="2"/>
        <v/>
      </c>
      <c r="O47" s="46">
        <v>760</v>
      </c>
      <c r="P47" s="46">
        <v>76</v>
      </c>
      <c r="Q47" s="46">
        <v>41</v>
      </c>
      <c r="R47" s="46">
        <v>100</v>
      </c>
      <c r="Y47" s="48" t="str">
        <f t="shared" si="3"/>
        <v/>
      </c>
    </row>
    <row r="48" spans="1:25" ht="22.5" customHeight="1" x14ac:dyDescent="0.2">
      <c r="A48" s="13">
        <v>30</v>
      </c>
      <c r="B48" s="14" t="s">
        <v>26</v>
      </c>
      <c r="C48" s="143" t="s">
        <v>152</v>
      </c>
      <c r="D48" s="144">
        <v>14</v>
      </c>
      <c r="E48" s="146">
        <v>450</v>
      </c>
      <c r="F48" s="146">
        <f t="shared" ref="F48:I53" si="17">+O48*$E48/1000</f>
        <v>410.85</v>
      </c>
      <c r="G48" s="145">
        <f t="shared" si="17"/>
        <v>36.450000000000003</v>
      </c>
      <c r="H48" s="145">
        <f t="shared" si="17"/>
        <v>19.350000000000001</v>
      </c>
      <c r="I48" s="145">
        <f t="shared" si="17"/>
        <v>54</v>
      </c>
      <c r="J48" s="148">
        <f t="shared" si="15"/>
        <v>142.64033873276085</v>
      </c>
      <c r="K48" s="149">
        <f t="shared" ref="K48:K53" si="18">+J48*1000/F48</f>
        <v>347.1834945424385</v>
      </c>
      <c r="L48" s="47"/>
      <c r="M48" s="48" t="str">
        <f t="shared" si="1"/>
        <v/>
      </c>
      <c r="N48" s="48" t="str">
        <f t="shared" si="2"/>
        <v/>
      </c>
      <c r="O48" s="46">
        <v>913</v>
      </c>
      <c r="P48" s="46">
        <v>81</v>
      </c>
      <c r="Q48" s="46">
        <v>43</v>
      </c>
      <c r="R48" s="46">
        <v>120</v>
      </c>
      <c r="Y48" s="48" t="str">
        <f t="shared" si="3"/>
        <v/>
      </c>
    </row>
    <row r="49" spans="1:25" ht="22.5" customHeight="1" x14ac:dyDescent="0.2">
      <c r="A49" s="13">
        <f t="shared" si="4"/>
        <v>31</v>
      </c>
      <c r="B49" s="14" t="s">
        <v>26</v>
      </c>
      <c r="C49" s="143" t="s">
        <v>153</v>
      </c>
      <c r="D49" s="144">
        <v>14</v>
      </c>
      <c r="E49" s="146">
        <v>450</v>
      </c>
      <c r="F49" s="146">
        <f t="shared" si="17"/>
        <v>378</v>
      </c>
      <c r="G49" s="145">
        <f t="shared" si="17"/>
        <v>32.85</v>
      </c>
      <c r="H49" s="145">
        <f t="shared" si="17"/>
        <v>20.25</v>
      </c>
      <c r="I49" s="145">
        <f t="shared" si="17"/>
        <v>50</v>
      </c>
      <c r="J49" s="148">
        <f t="shared" si="15"/>
        <v>131.58740555699436</v>
      </c>
      <c r="K49" s="149">
        <f t="shared" si="18"/>
        <v>348.11482951585805</v>
      </c>
      <c r="L49" s="47"/>
      <c r="M49" s="48" t="str">
        <f t="shared" si="1"/>
        <v/>
      </c>
      <c r="N49" s="48" t="str">
        <f t="shared" si="2"/>
        <v/>
      </c>
      <c r="O49" s="46">
        <v>840</v>
      </c>
      <c r="P49" s="46">
        <v>73</v>
      </c>
      <c r="Q49" s="46">
        <v>45</v>
      </c>
      <c r="R49" s="46">
        <v>111.11111111111111</v>
      </c>
      <c r="Y49" s="48" t="str">
        <f t="shared" si="3"/>
        <v/>
      </c>
    </row>
    <row r="50" spans="1:25" ht="22.5" customHeight="1" x14ac:dyDescent="0.2">
      <c r="A50" s="13">
        <f t="shared" si="4"/>
        <v>32</v>
      </c>
      <c r="B50" s="14" t="s">
        <v>26</v>
      </c>
      <c r="C50" s="143" t="s">
        <v>154</v>
      </c>
      <c r="D50" s="144">
        <v>14</v>
      </c>
      <c r="E50" s="146">
        <v>450</v>
      </c>
      <c r="F50" s="146">
        <f t="shared" si="17"/>
        <v>346.5</v>
      </c>
      <c r="G50" s="145">
        <f t="shared" si="17"/>
        <v>29.7</v>
      </c>
      <c r="H50" s="145">
        <f t="shared" si="17"/>
        <v>22.95</v>
      </c>
      <c r="I50" s="145">
        <f t="shared" si="17"/>
        <v>45</v>
      </c>
      <c r="J50" s="148">
        <f t="shared" si="15"/>
        <v>121.57480576936713</v>
      </c>
      <c r="K50" s="149">
        <f t="shared" si="18"/>
        <v>350.86524031563386</v>
      </c>
      <c r="L50" s="47"/>
      <c r="M50" s="48" t="str">
        <f t="shared" si="1"/>
        <v/>
      </c>
      <c r="N50" s="48" t="str">
        <f t="shared" si="2"/>
        <v/>
      </c>
      <c r="O50" s="46">
        <v>770</v>
      </c>
      <c r="P50" s="46">
        <v>66</v>
      </c>
      <c r="Q50" s="46">
        <v>51</v>
      </c>
      <c r="R50" s="46">
        <v>100</v>
      </c>
      <c r="Y50" s="48" t="str">
        <f t="shared" si="3"/>
        <v/>
      </c>
    </row>
    <row r="51" spans="1:25" ht="22.5" customHeight="1" x14ac:dyDescent="0.2">
      <c r="A51" s="13">
        <f t="shared" si="4"/>
        <v>33</v>
      </c>
      <c r="B51" s="14" t="s">
        <v>26</v>
      </c>
      <c r="C51" s="143" t="s">
        <v>155</v>
      </c>
      <c r="D51" s="144">
        <v>14</v>
      </c>
      <c r="E51" s="146">
        <v>450</v>
      </c>
      <c r="F51" s="146">
        <f t="shared" si="17"/>
        <v>319.5</v>
      </c>
      <c r="G51" s="145">
        <f t="shared" si="17"/>
        <v>26.1</v>
      </c>
      <c r="H51" s="145">
        <f t="shared" si="17"/>
        <v>22.95</v>
      </c>
      <c r="I51" s="145">
        <f t="shared" si="17"/>
        <v>40</v>
      </c>
      <c r="J51" s="148">
        <f t="shared" si="15"/>
        <v>112.04948568599193</v>
      </c>
      <c r="K51" s="149">
        <f t="shared" si="18"/>
        <v>350.70261560560851</v>
      </c>
      <c r="L51" s="47"/>
      <c r="M51" s="48" t="str">
        <f t="shared" si="1"/>
        <v/>
      </c>
      <c r="N51" s="48" t="str">
        <f t="shared" si="2"/>
        <v/>
      </c>
      <c r="O51" s="46">
        <v>710</v>
      </c>
      <c r="P51" s="46">
        <v>58</v>
      </c>
      <c r="Q51" s="46">
        <v>51</v>
      </c>
      <c r="R51" s="46">
        <v>88.888888888888886</v>
      </c>
      <c r="Y51" s="48" t="str">
        <f t="shared" si="3"/>
        <v/>
      </c>
    </row>
    <row r="52" spans="1:25" ht="22.5" customHeight="1" x14ac:dyDescent="0.2">
      <c r="A52" s="13">
        <f t="shared" si="4"/>
        <v>34</v>
      </c>
      <c r="B52" s="14" t="s">
        <v>26</v>
      </c>
      <c r="C52" s="143" t="s">
        <v>156</v>
      </c>
      <c r="D52" s="144">
        <v>14</v>
      </c>
      <c r="E52" s="145">
        <v>450</v>
      </c>
      <c r="F52" s="146">
        <f t="shared" si="17"/>
        <v>294.3</v>
      </c>
      <c r="G52" s="145">
        <f t="shared" si="17"/>
        <v>23.4</v>
      </c>
      <c r="H52" s="145">
        <f t="shared" si="17"/>
        <v>26.1</v>
      </c>
      <c r="I52" s="145">
        <f t="shared" si="17"/>
        <v>36</v>
      </c>
      <c r="J52" s="148">
        <f t="shared" si="15"/>
        <v>104.22019223759098</v>
      </c>
      <c r="K52" s="149">
        <f t="shared" si="18"/>
        <v>354.12909356979605</v>
      </c>
      <c r="L52" s="47"/>
      <c r="M52" s="48" t="str">
        <f t="shared" si="1"/>
        <v/>
      </c>
      <c r="N52" s="48" t="str">
        <f t="shared" si="2"/>
        <v/>
      </c>
      <c r="O52" s="46">
        <v>654</v>
      </c>
      <c r="P52" s="46">
        <v>52</v>
      </c>
      <c r="Q52" s="46">
        <v>58</v>
      </c>
      <c r="R52" s="46">
        <v>80</v>
      </c>
      <c r="Y52" s="48" t="str">
        <f t="shared" si="3"/>
        <v/>
      </c>
    </row>
    <row r="53" spans="1:25" ht="22.5" customHeight="1" x14ac:dyDescent="0.2">
      <c r="A53" s="13">
        <f t="shared" si="4"/>
        <v>35</v>
      </c>
      <c r="B53" s="14" t="s">
        <v>26</v>
      </c>
      <c r="C53" s="143" t="s">
        <v>157</v>
      </c>
      <c r="D53" s="144">
        <v>14</v>
      </c>
      <c r="E53" s="145">
        <v>450</v>
      </c>
      <c r="F53" s="146">
        <f t="shared" si="17"/>
        <v>270</v>
      </c>
      <c r="G53" s="145">
        <f t="shared" si="17"/>
        <v>20.25</v>
      </c>
      <c r="H53" s="145">
        <f t="shared" si="17"/>
        <v>30.15</v>
      </c>
      <c r="I53" s="145">
        <f t="shared" si="17"/>
        <v>32</v>
      </c>
      <c r="J53" s="148">
        <f t="shared" si="15"/>
        <v>96.712626623876801</v>
      </c>
      <c r="K53" s="149">
        <f t="shared" si="18"/>
        <v>358.19491342176593</v>
      </c>
      <c r="L53" s="47"/>
      <c r="M53" s="48" t="str">
        <f t="shared" si="1"/>
        <v/>
      </c>
      <c r="N53" s="48" t="str">
        <f t="shared" si="2"/>
        <v/>
      </c>
      <c r="O53" s="46">
        <v>600</v>
      </c>
      <c r="P53" s="46">
        <v>45</v>
      </c>
      <c r="Q53" s="46">
        <v>67</v>
      </c>
      <c r="R53" s="46">
        <v>71.111111111111114</v>
      </c>
      <c r="Y53" s="48" t="str">
        <f t="shared" si="3"/>
        <v/>
      </c>
    </row>
    <row r="54" spans="1:25" ht="22.5" customHeight="1" x14ac:dyDescent="0.2">
      <c r="A54" s="13">
        <f t="shared" si="4"/>
        <v>36</v>
      </c>
      <c r="B54" s="14" t="s">
        <v>27</v>
      </c>
      <c r="C54" s="143" t="s">
        <v>49</v>
      </c>
      <c r="D54" s="144">
        <v>22</v>
      </c>
      <c r="E54" s="145">
        <v>180</v>
      </c>
      <c r="F54" s="146">
        <f t="shared" ref="F54:F65" si="19">+O54*$E54/1000</f>
        <v>166.5</v>
      </c>
      <c r="G54" s="145">
        <f t="shared" ref="G54:G65" si="20">+P54*$E54/1000</f>
        <v>9</v>
      </c>
      <c r="H54" s="145">
        <f t="shared" ref="H54:H65" si="21">+Q54*$E54/1000</f>
        <v>-3.5640000000000001</v>
      </c>
      <c r="I54" s="145">
        <f t="shared" ref="I54:I65" si="22">+R54*$E54/1000</f>
        <v>10</v>
      </c>
      <c r="J54" s="148">
        <f t="shared" si="15"/>
        <v>47.735652600069656</v>
      </c>
      <c r="K54" s="149">
        <f t="shared" ref="K54:K65" si="23">+J54*1000/F54</f>
        <v>286.70061621663456</v>
      </c>
      <c r="L54" s="47"/>
      <c r="M54" s="48" t="str">
        <f t="shared" si="1"/>
        <v/>
      </c>
      <c r="N54" s="48" t="str">
        <f t="shared" si="2"/>
        <v/>
      </c>
      <c r="O54" s="46">
        <v>925</v>
      </c>
      <c r="P54" s="46">
        <v>50</v>
      </c>
      <c r="Q54" s="46">
        <v>-19.8</v>
      </c>
      <c r="R54" s="46">
        <v>55.555555555555557</v>
      </c>
      <c r="Y54" s="48" t="str">
        <f t="shared" si="3"/>
        <v/>
      </c>
    </row>
    <row r="55" spans="1:25" ht="22.5" customHeight="1" x14ac:dyDescent="0.2">
      <c r="A55" s="13">
        <f t="shared" si="4"/>
        <v>37</v>
      </c>
      <c r="B55" s="14" t="s">
        <v>27</v>
      </c>
      <c r="C55" s="143" t="s">
        <v>50</v>
      </c>
      <c r="D55" s="144">
        <v>17</v>
      </c>
      <c r="E55" s="145">
        <v>200</v>
      </c>
      <c r="F55" s="146">
        <f t="shared" si="19"/>
        <v>185</v>
      </c>
      <c r="G55" s="145">
        <f t="shared" si="20"/>
        <v>10</v>
      </c>
      <c r="H55" s="145">
        <f t="shared" si="21"/>
        <v>-3.96</v>
      </c>
      <c r="I55" s="145">
        <f t="shared" si="22"/>
        <v>11</v>
      </c>
      <c r="J55" s="148">
        <f t="shared" si="15"/>
        <v>56.439589256492617</v>
      </c>
      <c r="K55" s="149">
        <f t="shared" si="23"/>
        <v>305.07886084590604</v>
      </c>
      <c r="L55" s="47"/>
      <c r="M55" s="48" t="str">
        <f t="shared" si="1"/>
        <v/>
      </c>
      <c r="N55" s="48" t="str">
        <f t="shared" si="2"/>
        <v/>
      </c>
      <c r="O55" s="46">
        <v>925</v>
      </c>
      <c r="P55" s="46">
        <v>50</v>
      </c>
      <c r="Q55" s="46">
        <v>-19.8</v>
      </c>
      <c r="R55" s="46">
        <v>55</v>
      </c>
      <c r="Y55" s="48" t="str">
        <f t="shared" si="3"/>
        <v/>
      </c>
    </row>
    <row r="56" spans="1:25" ht="22.5" customHeight="1" x14ac:dyDescent="0.2">
      <c r="A56" s="13">
        <f t="shared" si="4"/>
        <v>38</v>
      </c>
      <c r="B56" s="14" t="s">
        <v>27</v>
      </c>
      <c r="C56" s="143" t="s">
        <v>51</v>
      </c>
      <c r="D56" s="144">
        <v>15</v>
      </c>
      <c r="E56" s="145">
        <v>220</v>
      </c>
      <c r="F56" s="146">
        <f t="shared" si="19"/>
        <v>203.5</v>
      </c>
      <c r="G56" s="145">
        <f t="shared" si="20"/>
        <v>11</v>
      </c>
      <c r="H56" s="145">
        <f t="shared" si="21"/>
        <v>-4.3559999999999999</v>
      </c>
      <c r="I56" s="145">
        <f t="shared" si="22"/>
        <v>12</v>
      </c>
      <c r="J56" s="148">
        <f t="shared" si="15"/>
        <v>63.579537294964553</v>
      </c>
      <c r="K56" s="149">
        <f t="shared" si="23"/>
        <v>312.4301586976145</v>
      </c>
      <c r="L56" s="47"/>
      <c r="M56" s="48" t="str">
        <f t="shared" si="1"/>
        <v/>
      </c>
      <c r="N56" s="48" t="str">
        <f t="shared" si="2"/>
        <v/>
      </c>
      <c r="O56" s="46">
        <v>925</v>
      </c>
      <c r="P56" s="46">
        <v>50</v>
      </c>
      <c r="Q56" s="46">
        <v>-19.8</v>
      </c>
      <c r="R56" s="46">
        <v>54.545454545454547</v>
      </c>
      <c r="Y56" s="48" t="str">
        <f t="shared" si="3"/>
        <v/>
      </c>
    </row>
    <row r="57" spans="1:25" ht="22.5" customHeight="1" x14ac:dyDescent="0.2">
      <c r="A57" s="13">
        <f t="shared" si="4"/>
        <v>39</v>
      </c>
      <c r="B57" s="14" t="s">
        <v>27</v>
      </c>
      <c r="C57" s="143" t="s">
        <v>52</v>
      </c>
      <c r="D57" s="144">
        <v>13</v>
      </c>
      <c r="E57" s="145">
        <v>250</v>
      </c>
      <c r="F57" s="146">
        <f t="shared" si="19"/>
        <v>231.25</v>
      </c>
      <c r="G57" s="145">
        <f t="shared" si="20"/>
        <v>12.5</v>
      </c>
      <c r="H57" s="145">
        <f t="shared" si="21"/>
        <v>-4.95</v>
      </c>
      <c r="I57" s="145">
        <f t="shared" si="22"/>
        <v>13</v>
      </c>
      <c r="J57" s="148">
        <f t="shared" si="15"/>
        <v>73.949461827030973</v>
      </c>
      <c r="K57" s="149">
        <f t="shared" si="23"/>
        <v>319.78145654932314</v>
      </c>
      <c r="L57" s="47"/>
      <c r="M57" s="48" t="str">
        <f t="shared" si="1"/>
        <v/>
      </c>
      <c r="N57" s="48" t="str">
        <f t="shared" si="2"/>
        <v/>
      </c>
      <c r="O57" s="46">
        <v>925</v>
      </c>
      <c r="P57" s="46">
        <v>50</v>
      </c>
      <c r="Q57" s="46">
        <v>-19.8</v>
      </c>
      <c r="R57" s="46">
        <v>52</v>
      </c>
      <c r="Y57" s="48" t="str">
        <f t="shared" si="3"/>
        <v/>
      </c>
    </row>
    <row r="58" spans="1:25" ht="22.5" customHeight="1" x14ac:dyDescent="0.2">
      <c r="A58" s="13">
        <f t="shared" si="4"/>
        <v>40</v>
      </c>
      <c r="B58" s="14" t="s">
        <v>27</v>
      </c>
      <c r="C58" s="143" t="s">
        <v>53</v>
      </c>
      <c r="D58" s="144">
        <v>12</v>
      </c>
      <c r="E58" s="145">
        <v>270</v>
      </c>
      <c r="F58" s="146">
        <f t="shared" si="19"/>
        <v>249.75</v>
      </c>
      <c r="G58" s="145">
        <f t="shared" si="20"/>
        <v>13.5</v>
      </c>
      <c r="H58" s="145">
        <f t="shared" si="21"/>
        <v>-5.3460000000000001</v>
      </c>
      <c r="I58" s="145">
        <f t="shared" si="22"/>
        <v>13</v>
      </c>
      <c r="J58" s="148">
        <f t="shared" si="15"/>
        <v>80.78341209242555</v>
      </c>
      <c r="K58" s="149">
        <f t="shared" si="23"/>
        <v>323.4571054751774</v>
      </c>
      <c r="L58" s="47"/>
      <c r="M58" s="48" t="str">
        <f t="shared" si="1"/>
        <v/>
      </c>
      <c r="N58" s="48" t="str">
        <f t="shared" si="2"/>
        <v/>
      </c>
      <c r="O58" s="46">
        <v>925</v>
      </c>
      <c r="P58" s="46">
        <v>50</v>
      </c>
      <c r="Q58" s="46">
        <v>-19.8</v>
      </c>
      <c r="R58" s="46">
        <v>48.148148148148145</v>
      </c>
      <c r="Y58" s="48" t="str">
        <f t="shared" si="3"/>
        <v/>
      </c>
    </row>
    <row r="59" spans="1:25" ht="22.5" customHeight="1" x14ac:dyDescent="0.2">
      <c r="A59" s="13">
        <f t="shared" si="4"/>
        <v>41</v>
      </c>
      <c r="B59" s="14" t="s">
        <v>27</v>
      </c>
      <c r="C59" s="143" t="s">
        <v>54</v>
      </c>
      <c r="D59" s="144">
        <v>10</v>
      </c>
      <c r="E59" s="145">
        <v>300</v>
      </c>
      <c r="F59" s="146">
        <f t="shared" si="19"/>
        <v>277.5</v>
      </c>
      <c r="G59" s="145">
        <f t="shared" si="20"/>
        <v>15</v>
      </c>
      <c r="H59" s="145">
        <f t="shared" si="21"/>
        <v>-5.94</v>
      </c>
      <c r="I59" s="145">
        <f t="shared" si="22"/>
        <v>14</v>
      </c>
      <c r="J59" s="148">
        <f t="shared" si="15"/>
        <v>91.799331923210872</v>
      </c>
      <c r="K59" s="149">
        <f t="shared" si="23"/>
        <v>330.80840332688604</v>
      </c>
      <c r="L59" s="47"/>
      <c r="M59" s="48" t="str">
        <f t="shared" si="1"/>
        <v/>
      </c>
      <c r="N59" s="48" t="str">
        <f t="shared" si="2"/>
        <v/>
      </c>
      <c r="O59" s="46">
        <v>925</v>
      </c>
      <c r="P59" s="46">
        <v>50</v>
      </c>
      <c r="Q59" s="46">
        <v>-19.8</v>
      </c>
      <c r="R59" s="46">
        <v>46.666666666666664</v>
      </c>
      <c r="Y59" s="48" t="str">
        <f t="shared" si="3"/>
        <v/>
      </c>
    </row>
    <row r="60" spans="1:25" ht="22.5" customHeight="1" x14ac:dyDescent="0.2">
      <c r="A60" s="13">
        <f t="shared" si="4"/>
        <v>42</v>
      </c>
      <c r="B60" s="14" t="s">
        <v>27</v>
      </c>
      <c r="C60" s="143" t="s">
        <v>55</v>
      </c>
      <c r="D60" s="144">
        <v>10</v>
      </c>
      <c r="E60" s="145">
        <v>350</v>
      </c>
      <c r="F60" s="146">
        <f t="shared" si="19"/>
        <v>323.75</v>
      </c>
      <c r="G60" s="145">
        <f t="shared" si="20"/>
        <v>17.5</v>
      </c>
      <c r="H60" s="145">
        <f t="shared" si="21"/>
        <v>-6.93</v>
      </c>
      <c r="I60" s="145">
        <f t="shared" si="22"/>
        <v>14.999999999999998</v>
      </c>
      <c r="J60" s="148">
        <f t="shared" si="15"/>
        <v>107.09922057707936</v>
      </c>
      <c r="K60" s="149">
        <f t="shared" si="23"/>
        <v>330.80840332688609</v>
      </c>
      <c r="L60" s="47"/>
      <c r="M60" s="48" t="str">
        <f t="shared" si="1"/>
        <v/>
      </c>
      <c r="N60" s="48" t="str">
        <f t="shared" si="2"/>
        <v/>
      </c>
      <c r="O60" s="46">
        <v>925</v>
      </c>
      <c r="P60" s="46">
        <v>50</v>
      </c>
      <c r="Q60" s="46">
        <v>-19.8</v>
      </c>
      <c r="R60" s="46">
        <v>42.857142857142854</v>
      </c>
      <c r="Y60" s="48" t="str">
        <f t="shared" si="3"/>
        <v/>
      </c>
    </row>
    <row r="61" spans="1:25" ht="22.5" customHeight="1" x14ac:dyDescent="0.2">
      <c r="A61" s="13">
        <f t="shared" si="4"/>
        <v>43</v>
      </c>
      <c r="B61" s="14" t="s">
        <v>28</v>
      </c>
      <c r="C61" s="143" t="s">
        <v>56</v>
      </c>
      <c r="D61" s="144">
        <v>5</v>
      </c>
      <c r="E61" s="145">
        <v>600</v>
      </c>
      <c r="F61" s="146">
        <f t="shared" si="19"/>
        <v>687</v>
      </c>
      <c r="G61" s="145">
        <f t="shared" si="20"/>
        <v>40.200000000000003</v>
      </c>
      <c r="H61" s="145">
        <f t="shared" si="21"/>
        <v>-10.8</v>
      </c>
      <c r="I61" s="145">
        <f t="shared" si="22"/>
        <v>40</v>
      </c>
      <c r="J61" s="148">
        <f t="shared" si="15"/>
        <v>242.32231943825514</v>
      </c>
      <c r="K61" s="149">
        <f t="shared" si="23"/>
        <v>352.72535580532042</v>
      </c>
      <c r="L61" s="47"/>
      <c r="M61" s="48" t="str">
        <f t="shared" si="1"/>
        <v/>
      </c>
      <c r="N61" s="48" t="str">
        <f t="shared" si="2"/>
        <v/>
      </c>
      <c r="O61" s="46">
        <v>1145</v>
      </c>
      <c r="P61" s="46">
        <v>67</v>
      </c>
      <c r="Q61" s="46">
        <v>-18</v>
      </c>
      <c r="R61" s="46">
        <v>66.666666666666671</v>
      </c>
      <c r="Y61" s="48" t="str">
        <f t="shared" si="3"/>
        <v/>
      </c>
    </row>
    <row r="62" spans="1:25" ht="22.5" customHeight="1" x14ac:dyDescent="0.2">
      <c r="A62" s="13">
        <f t="shared" si="4"/>
        <v>44</v>
      </c>
      <c r="B62" s="14" t="s">
        <v>28</v>
      </c>
      <c r="C62" s="143" t="s">
        <v>57</v>
      </c>
      <c r="D62" s="144">
        <v>5</v>
      </c>
      <c r="E62" s="145">
        <v>550</v>
      </c>
      <c r="F62" s="146">
        <f t="shared" si="19"/>
        <v>616</v>
      </c>
      <c r="G62" s="145">
        <f t="shared" si="20"/>
        <v>36.85</v>
      </c>
      <c r="H62" s="145">
        <f t="shared" si="21"/>
        <v>-11.55</v>
      </c>
      <c r="I62" s="145">
        <f t="shared" si="22"/>
        <v>30</v>
      </c>
      <c r="J62" s="148">
        <f t="shared" si="15"/>
        <v>217.10491272329187</v>
      </c>
      <c r="K62" s="149">
        <f t="shared" si="23"/>
        <v>352.44304013521406</v>
      </c>
      <c r="L62" s="47"/>
      <c r="M62" s="48" t="str">
        <f t="shared" si="1"/>
        <v/>
      </c>
      <c r="N62" s="48" t="str">
        <f t="shared" si="2"/>
        <v/>
      </c>
      <c r="O62" s="46">
        <v>1120</v>
      </c>
      <c r="P62" s="46">
        <v>67</v>
      </c>
      <c r="Q62" s="46">
        <v>-21</v>
      </c>
      <c r="R62" s="46">
        <v>54.545454545454547</v>
      </c>
      <c r="Y62" s="48" t="str">
        <f t="shared" si="3"/>
        <v/>
      </c>
    </row>
    <row r="63" spans="1:25" ht="22.5" customHeight="1" x14ac:dyDescent="0.2">
      <c r="A63" s="13">
        <f t="shared" si="4"/>
        <v>45</v>
      </c>
      <c r="B63" s="14" t="s">
        <v>28</v>
      </c>
      <c r="C63" s="143" t="s">
        <v>58</v>
      </c>
      <c r="D63" s="144">
        <v>19</v>
      </c>
      <c r="E63" s="145">
        <v>230</v>
      </c>
      <c r="F63" s="146">
        <f t="shared" si="19"/>
        <v>143</v>
      </c>
      <c r="G63" s="145">
        <f t="shared" si="20"/>
        <v>10</v>
      </c>
      <c r="H63" s="145">
        <f t="shared" si="21"/>
        <v>11</v>
      </c>
      <c r="I63" s="145">
        <f t="shared" si="22"/>
        <v>23</v>
      </c>
      <c r="J63" s="148">
        <f t="shared" si="15"/>
        <v>46.78496143653522</v>
      </c>
      <c r="K63" s="149">
        <f t="shared" si="23"/>
        <v>327.16756249325329</v>
      </c>
      <c r="L63" s="47"/>
      <c r="M63" s="48" t="str">
        <f t="shared" si="1"/>
        <v/>
      </c>
      <c r="N63" s="48" t="str">
        <f t="shared" si="2"/>
        <v/>
      </c>
      <c r="O63" s="46">
        <v>621.73913043478262</v>
      </c>
      <c r="P63" s="46">
        <v>43.478260869565219</v>
      </c>
      <c r="Q63" s="46">
        <v>47.826086956521742</v>
      </c>
      <c r="R63" s="46">
        <v>100</v>
      </c>
      <c r="Y63" s="48" t="str">
        <f t="shared" si="3"/>
        <v/>
      </c>
    </row>
    <row r="64" spans="1:25" ht="22.5" customHeight="1" x14ac:dyDescent="0.2">
      <c r="A64" s="13">
        <f t="shared" si="4"/>
        <v>46</v>
      </c>
      <c r="B64" s="14" t="s">
        <v>28</v>
      </c>
      <c r="C64" s="143" t="s">
        <v>59</v>
      </c>
      <c r="D64" s="144">
        <v>35</v>
      </c>
      <c r="E64" s="145">
        <v>160</v>
      </c>
      <c r="F64" s="146">
        <f t="shared" si="19"/>
        <v>134</v>
      </c>
      <c r="G64" s="145">
        <f t="shared" si="20"/>
        <v>11</v>
      </c>
      <c r="H64" s="145">
        <f t="shared" si="21"/>
        <v>4</v>
      </c>
      <c r="I64" s="145">
        <f t="shared" si="22"/>
        <v>12</v>
      </c>
      <c r="J64" s="148">
        <f t="shared" si="15"/>
        <v>34.453729509128905</v>
      </c>
      <c r="K64" s="149">
        <f t="shared" si="23"/>
        <v>257.11738439648434</v>
      </c>
      <c r="L64" s="47"/>
      <c r="M64" s="48" t="str">
        <f t="shared" si="1"/>
        <v/>
      </c>
      <c r="N64" s="48" t="str">
        <f t="shared" si="2"/>
        <v/>
      </c>
      <c r="O64" s="46">
        <v>837.5</v>
      </c>
      <c r="P64" s="46">
        <v>68.75</v>
      </c>
      <c r="Q64" s="46">
        <v>25</v>
      </c>
      <c r="R64" s="46">
        <v>75</v>
      </c>
      <c r="Y64" s="48" t="str">
        <f t="shared" si="3"/>
        <v/>
      </c>
    </row>
    <row r="65" spans="1:25" ht="22.5" customHeight="1" x14ac:dyDescent="0.2">
      <c r="A65" s="13">
        <f t="shared" si="4"/>
        <v>47</v>
      </c>
      <c r="B65" s="14" t="s">
        <v>28</v>
      </c>
      <c r="C65" s="143" t="s">
        <v>60</v>
      </c>
      <c r="D65" s="144">
        <v>35</v>
      </c>
      <c r="E65" s="145">
        <v>140</v>
      </c>
      <c r="F65" s="146">
        <f t="shared" si="19"/>
        <v>103.6</v>
      </c>
      <c r="G65" s="145">
        <f t="shared" si="20"/>
        <v>4.76</v>
      </c>
      <c r="H65" s="145">
        <f t="shared" si="21"/>
        <v>10.5</v>
      </c>
      <c r="I65" s="145">
        <f t="shared" si="22"/>
        <v>18</v>
      </c>
      <c r="J65" s="148">
        <f t="shared" si="15"/>
        <v>26.945624737784321</v>
      </c>
      <c r="K65" s="149">
        <f t="shared" si="23"/>
        <v>260.09290287436608</v>
      </c>
      <c r="L65" s="47"/>
      <c r="M65" s="48" t="str">
        <f t="shared" si="1"/>
        <v/>
      </c>
      <c r="N65" s="48" t="str">
        <f t="shared" si="2"/>
        <v/>
      </c>
      <c r="O65" s="46">
        <v>740</v>
      </c>
      <c r="P65" s="46">
        <v>34</v>
      </c>
      <c r="Q65" s="46">
        <v>75</v>
      </c>
      <c r="R65" s="46">
        <v>128.57142857142858</v>
      </c>
      <c r="Y65" s="48" t="str">
        <f t="shared" si="3"/>
        <v/>
      </c>
    </row>
    <row r="66" spans="1:25" s="22" customFormat="1" ht="22.5" customHeight="1" x14ac:dyDescent="0.2">
      <c r="A66" s="13"/>
      <c r="B66" s="14"/>
      <c r="C66" s="158" t="s">
        <v>115</v>
      </c>
      <c r="D66" s="159"/>
      <c r="E66" s="159"/>
      <c r="F66" s="159"/>
      <c r="G66" s="159"/>
      <c r="H66" s="159"/>
      <c r="I66" s="159"/>
      <c r="J66" s="159"/>
      <c r="K66" s="160"/>
      <c r="L66" s="49"/>
      <c r="M66" s="50"/>
      <c r="N66" s="48"/>
      <c r="O66" s="51"/>
      <c r="P66" s="51"/>
      <c r="Q66" s="51"/>
      <c r="R66" s="51"/>
      <c r="Y66" s="48" t="str">
        <f t="shared" si="3"/>
        <v/>
      </c>
    </row>
    <row r="67" spans="1:25" ht="22.5" customHeight="1" x14ac:dyDescent="0.2">
      <c r="A67" s="13">
        <v>48</v>
      </c>
      <c r="B67" s="14" t="s">
        <v>38</v>
      </c>
      <c r="C67" s="143" t="s">
        <v>61</v>
      </c>
      <c r="D67" s="144"/>
      <c r="E67" s="145">
        <v>910</v>
      </c>
      <c r="F67" s="146">
        <f t="shared" ref="F67:I70" si="24">+O67*$E67/1000</f>
        <v>702</v>
      </c>
      <c r="G67" s="145">
        <f t="shared" si="24"/>
        <v>88</v>
      </c>
      <c r="H67" s="145">
        <f t="shared" si="24"/>
        <v>32.000000000000007</v>
      </c>
      <c r="I67" s="145">
        <f t="shared" si="24"/>
        <v>125.00000000000001</v>
      </c>
      <c r="J67" s="148">
        <f t="shared" ref="J67:J77" si="25">((G67*2.2167*D$1+(F67-$G67*2.2167)*D$2)/1000+H67*D$3/(2.875))*IF(D67="  ",1,(100-D67)/100)</f>
        <v>294.86965165081733</v>
      </c>
      <c r="K67" s="149">
        <f>+J67*1000/F67</f>
        <v>420.04223881882808</v>
      </c>
      <c r="L67" s="47"/>
      <c r="M67" s="48" t="str">
        <f t="shared" si="1"/>
        <v/>
      </c>
      <c r="N67" s="48" t="str">
        <f t="shared" si="2"/>
        <v/>
      </c>
      <c r="O67" s="46">
        <v>771.42857142857144</v>
      </c>
      <c r="P67" s="46">
        <v>96.703296703296701</v>
      </c>
      <c r="Q67" s="46">
        <v>35.164835164835168</v>
      </c>
      <c r="R67" s="46">
        <v>137.36263736263737</v>
      </c>
      <c r="Y67" s="48" t="str">
        <f t="shared" si="3"/>
        <v/>
      </c>
    </row>
    <row r="68" spans="1:25" ht="22.5" customHeight="1" x14ac:dyDescent="0.2">
      <c r="A68" s="13">
        <f t="shared" si="4"/>
        <v>49</v>
      </c>
      <c r="B68" s="14" t="s">
        <v>38</v>
      </c>
      <c r="C68" s="143" t="s">
        <v>62</v>
      </c>
      <c r="D68" s="144"/>
      <c r="E68" s="145">
        <v>910</v>
      </c>
      <c r="F68" s="146">
        <f t="shared" si="24"/>
        <v>677</v>
      </c>
      <c r="G68" s="145">
        <f t="shared" si="24"/>
        <v>80</v>
      </c>
      <c r="H68" s="145">
        <f t="shared" si="24"/>
        <v>18</v>
      </c>
      <c r="I68" s="145">
        <f t="shared" si="24"/>
        <v>105</v>
      </c>
      <c r="J68" s="148">
        <f t="shared" si="25"/>
        <v>278.33666602643473</v>
      </c>
      <c r="K68" s="149">
        <f>+J68*1000/F68</f>
        <v>411.13244612471897</v>
      </c>
      <c r="L68" s="47"/>
      <c r="M68" s="48" t="str">
        <f t="shared" ref="M68:M118" si="26">IF(ISBLANK(L68),"",+K68-L68*1000/F68)</f>
        <v/>
      </c>
      <c r="N68" s="48" t="str">
        <f t="shared" si="2"/>
        <v/>
      </c>
      <c r="O68" s="46">
        <v>743.95604395604391</v>
      </c>
      <c r="P68" s="46">
        <v>87.912087912087912</v>
      </c>
      <c r="Q68" s="46">
        <v>19.780219780219781</v>
      </c>
      <c r="R68" s="46">
        <v>115.38461538461539</v>
      </c>
      <c r="Y68" s="48" t="str">
        <f t="shared" si="3"/>
        <v/>
      </c>
    </row>
    <row r="69" spans="1:25" ht="22.5" customHeight="1" x14ac:dyDescent="0.2">
      <c r="A69" s="13">
        <f t="shared" si="4"/>
        <v>50</v>
      </c>
      <c r="B69" s="14" t="s">
        <v>38</v>
      </c>
      <c r="C69" s="143" t="s">
        <v>63</v>
      </c>
      <c r="D69" s="144"/>
      <c r="E69" s="145">
        <v>910</v>
      </c>
      <c r="F69" s="146">
        <f t="shared" si="24"/>
        <v>650</v>
      </c>
      <c r="G69" s="145">
        <f t="shared" si="24"/>
        <v>72</v>
      </c>
      <c r="H69" s="145">
        <f t="shared" si="24"/>
        <v>10</v>
      </c>
      <c r="I69" s="145">
        <f t="shared" si="24"/>
        <v>95</v>
      </c>
      <c r="J69" s="148">
        <f t="shared" si="25"/>
        <v>262.87934344553048</v>
      </c>
      <c r="K69" s="149">
        <f>+J69*1000/F69</f>
        <v>404.4297591469699</v>
      </c>
      <c r="L69" s="47"/>
      <c r="M69" s="48" t="str">
        <f t="shared" si="26"/>
        <v/>
      </c>
      <c r="N69" s="48" t="str">
        <f t="shared" si="2"/>
        <v/>
      </c>
      <c r="O69" s="46">
        <v>714.28571428571433</v>
      </c>
      <c r="P69" s="46">
        <v>79.120879120879124</v>
      </c>
      <c r="Q69" s="46">
        <v>10.989010989010989</v>
      </c>
      <c r="R69" s="46">
        <v>104.39560439560439</v>
      </c>
      <c r="Y69" s="48" t="str">
        <f t="shared" si="3"/>
        <v/>
      </c>
    </row>
    <row r="70" spans="1:25" ht="22.5" customHeight="1" x14ac:dyDescent="0.2">
      <c r="A70" s="13">
        <f t="shared" si="4"/>
        <v>51</v>
      </c>
      <c r="B70" s="14" t="s">
        <v>38</v>
      </c>
      <c r="C70" s="143" t="s">
        <v>64</v>
      </c>
      <c r="D70" s="144"/>
      <c r="E70" s="145">
        <v>900</v>
      </c>
      <c r="F70" s="146">
        <f t="shared" si="24"/>
        <v>635</v>
      </c>
      <c r="G70" s="145">
        <f t="shared" si="24"/>
        <v>56</v>
      </c>
      <c r="H70" s="145">
        <f t="shared" si="24"/>
        <v>-19</v>
      </c>
      <c r="I70" s="145">
        <f t="shared" si="24"/>
        <v>58</v>
      </c>
      <c r="J70" s="148">
        <f t="shared" si="25"/>
        <v>241.73709502285217</v>
      </c>
      <c r="K70" s="149">
        <f>+J70*1000/F70</f>
        <v>380.68833861866483</v>
      </c>
      <c r="L70" s="47"/>
      <c r="M70" s="48" t="str">
        <f t="shared" si="26"/>
        <v/>
      </c>
      <c r="N70" s="48" t="str">
        <f t="shared" si="2"/>
        <v/>
      </c>
      <c r="O70" s="46">
        <v>705.55555555555554</v>
      </c>
      <c r="P70" s="46">
        <v>62.222222222222221</v>
      </c>
      <c r="Q70" s="46">
        <v>-21.111111111111111</v>
      </c>
      <c r="R70" s="46">
        <v>64.444444444444443</v>
      </c>
      <c r="Y70" s="48" t="str">
        <f t="shared" si="3"/>
        <v/>
      </c>
    </row>
    <row r="71" spans="1:25" ht="22.5" customHeight="1" x14ac:dyDescent="0.2">
      <c r="A71" s="13">
        <f t="shared" si="4"/>
        <v>52</v>
      </c>
      <c r="B71" s="45" t="s">
        <v>29</v>
      </c>
      <c r="C71" s="143" t="s">
        <v>65</v>
      </c>
      <c r="D71" s="144"/>
      <c r="E71" s="145">
        <v>900</v>
      </c>
      <c r="F71" s="146">
        <f t="shared" ref="F71:I77" si="27">+O71*$E71/1000</f>
        <v>925</v>
      </c>
      <c r="G71" s="145">
        <f t="shared" si="27"/>
        <v>98</v>
      </c>
      <c r="H71" s="145">
        <f t="shared" si="27"/>
        <v>-62</v>
      </c>
      <c r="I71" s="145">
        <f t="shared" si="27"/>
        <v>50</v>
      </c>
      <c r="J71" s="148">
        <f t="shared" si="25"/>
        <v>349.51538503999132</v>
      </c>
      <c r="K71" s="149">
        <f t="shared" ref="K71:K77" si="28">+J71*1000/F71</f>
        <v>377.85447031350412</v>
      </c>
      <c r="L71" s="47"/>
      <c r="M71" s="48" t="str">
        <f t="shared" si="26"/>
        <v/>
      </c>
      <c r="N71" s="48" t="str">
        <f t="shared" ref="N71:N128" si="29">IF(ISBLANK(L71),"",+J71-L71)</f>
        <v/>
      </c>
      <c r="O71" s="46">
        <v>1027.7777777777778</v>
      </c>
      <c r="P71" s="46">
        <v>108.88888888888889</v>
      </c>
      <c r="Q71" s="46">
        <v>-68.888888888888886</v>
      </c>
      <c r="R71" s="46">
        <v>55.555555555555557</v>
      </c>
      <c r="Y71" s="48" t="str">
        <f t="shared" si="3"/>
        <v/>
      </c>
    </row>
    <row r="72" spans="1:25" ht="22.5" customHeight="1" x14ac:dyDescent="0.2">
      <c r="A72" s="13">
        <f t="shared" si="4"/>
        <v>53</v>
      </c>
      <c r="B72" s="45" t="s">
        <v>29</v>
      </c>
      <c r="C72" s="143" t="s">
        <v>66</v>
      </c>
      <c r="D72" s="144"/>
      <c r="E72" s="145">
        <v>910</v>
      </c>
      <c r="F72" s="146">
        <f t="shared" si="27"/>
        <v>925</v>
      </c>
      <c r="G72" s="145">
        <f t="shared" si="27"/>
        <v>88</v>
      </c>
      <c r="H72" s="145">
        <f t="shared" si="27"/>
        <v>-36</v>
      </c>
      <c r="I72" s="145">
        <f t="shared" si="27"/>
        <v>59.999999999999993</v>
      </c>
      <c r="J72" s="148">
        <f t="shared" si="25"/>
        <v>352.62017882473037</v>
      </c>
      <c r="K72" s="149">
        <f t="shared" si="28"/>
        <v>381.21100413484368</v>
      </c>
      <c r="L72" s="47"/>
      <c r="M72" s="48" t="str">
        <f t="shared" si="26"/>
        <v/>
      </c>
      <c r="N72" s="48" t="str">
        <f t="shared" si="29"/>
        <v/>
      </c>
      <c r="O72" s="46">
        <v>1016.4835164835165</v>
      </c>
      <c r="P72" s="46">
        <v>96.703296703296701</v>
      </c>
      <c r="Q72" s="46">
        <v>-39.560439560439562</v>
      </c>
      <c r="R72" s="46">
        <v>65.934065934065927</v>
      </c>
      <c r="Y72" s="48" t="str">
        <f t="shared" ref="Y72:Y129" si="30">IF(L72&gt;0,1000/F72,"")</f>
        <v/>
      </c>
    </row>
    <row r="73" spans="1:25" ht="22.5" customHeight="1" x14ac:dyDescent="0.2">
      <c r="A73" s="13">
        <f t="shared" si="4"/>
        <v>54</v>
      </c>
      <c r="C73" s="143" t="s">
        <v>67</v>
      </c>
      <c r="D73" s="144"/>
      <c r="E73" s="145">
        <v>900</v>
      </c>
      <c r="F73" s="146">
        <f t="shared" si="27"/>
        <v>990</v>
      </c>
      <c r="G73" s="145">
        <f t="shared" si="27"/>
        <v>70</v>
      </c>
      <c r="H73" s="145">
        <f t="shared" si="27"/>
        <v>-40</v>
      </c>
      <c r="I73" s="145">
        <f t="shared" si="27"/>
        <v>33</v>
      </c>
      <c r="J73" s="148">
        <f t="shared" si="25"/>
        <v>365.88280220247827</v>
      </c>
      <c r="K73" s="149">
        <f t="shared" si="28"/>
        <v>369.57858808331139</v>
      </c>
      <c r="L73" s="47"/>
      <c r="M73" s="48" t="str">
        <f t="shared" si="26"/>
        <v/>
      </c>
      <c r="N73" s="48" t="str">
        <f t="shared" si="29"/>
        <v/>
      </c>
      <c r="O73" s="46">
        <v>1100</v>
      </c>
      <c r="P73" s="46">
        <v>77.777777777777771</v>
      </c>
      <c r="Q73" s="46">
        <v>-44.444444444444443</v>
      </c>
      <c r="R73" s="46">
        <v>36.666666666666664</v>
      </c>
      <c r="Y73" s="48" t="str">
        <f t="shared" si="30"/>
        <v/>
      </c>
    </row>
    <row r="74" spans="1:25" ht="22.5" customHeight="1" x14ac:dyDescent="0.2">
      <c r="A74" s="13">
        <f t="shared" si="4"/>
        <v>55</v>
      </c>
      <c r="C74" s="143" t="s">
        <v>68</v>
      </c>
      <c r="D74" s="144"/>
      <c r="E74" s="145">
        <v>910</v>
      </c>
      <c r="F74" s="146">
        <f t="shared" si="27"/>
        <v>800</v>
      </c>
      <c r="G74" s="145">
        <f t="shared" si="27"/>
        <v>45</v>
      </c>
      <c r="H74" s="145">
        <f t="shared" si="27"/>
        <v>-14.999999999999998</v>
      </c>
      <c r="I74" s="145">
        <f t="shared" si="27"/>
        <v>40</v>
      </c>
      <c r="J74" s="148">
        <f t="shared" si="25"/>
        <v>295.48494970780439</v>
      </c>
      <c r="K74" s="149">
        <f t="shared" si="28"/>
        <v>369.35618713475543</v>
      </c>
      <c r="L74" s="47"/>
      <c r="M74" s="48" t="str">
        <f t="shared" si="26"/>
        <v/>
      </c>
      <c r="N74" s="48" t="str">
        <f t="shared" si="29"/>
        <v/>
      </c>
      <c r="O74" s="46">
        <v>879.12087912087907</v>
      </c>
      <c r="P74" s="46">
        <v>49.450549450549453</v>
      </c>
      <c r="Q74" s="46">
        <v>-16.483516483516482</v>
      </c>
      <c r="R74" s="46">
        <v>43.956043956043956</v>
      </c>
      <c r="Y74" s="48" t="str">
        <f t="shared" si="30"/>
        <v/>
      </c>
    </row>
    <row r="75" spans="1:25" ht="22.5" customHeight="1" x14ac:dyDescent="0.2">
      <c r="A75" s="13">
        <f t="shared" si="4"/>
        <v>56</v>
      </c>
      <c r="C75" s="143" t="s">
        <v>69</v>
      </c>
      <c r="D75" s="144"/>
      <c r="E75" s="145">
        <v>900</v>
      </c>
      <c r="F75" s="146">
        <f t="shared" si="27"/>
        <v>968.00000000000011</v>
      </c>
      <c r="G75" s="145">
        <f t="shared" si="27"/>
        <v>74</v>
      </c>
      <c r="H75" s="145">
        <f t="shared" si="27"/>
        <v>-65.000000000000014</v>
      </c>
      <c r="I75" s="145">
        <f t="shared" si="27"/>
        <v>25</v>
      </c>
      <c r="J75" s="148">
        <f t="shared" si="25"/>
        <v>352.64361294945223</v>
      </c>
      <c r="K75" s="149">
        <f t="shared" si="28"/>
        <v>364.30125304695474</v>
      </c>
      <c r="L75" s="47"/>
      <c r="M75" s="48" t="str">
        <f t="shared" si="26"/>
        <v/>
      </c>
      <c r="N75" s="48" t="str">
        <f t="shared" si="29"/>
        <v/>
      </c>
      <c r="O75" s="46">
        <v>1075.5555555555557</v>
      </c>
      <c r="P75" s="46">
        <v>82.222222222222229</v>
      </c>
      <c r="Q75" s="46">
        <v>-72.222222222222229</v>
      </c>
      <c r="R75" s="46">
        <v>27.777777777777779</v>
      </c>
      <c r="Y75" s="48" t="str">
        <f t="shared" si="30"/>
        <v/>
      </c>
    </row>
    <row r="76" spans="1:25" ht="22.5" customHeight="1" x14ac:dyDescent="0.2">
      <c r="A76" s="13">
        <f t="shared" si="4"/>
        <v>57</v>
      </c>
      <c r="C76" s="143" t="s">
        <v>70</v>
      </c>
      <c r="D76" s="144"/>
      <c r="E76" s="145">
        <v>900</v>
      </c>
      <c r="F76" s="146">
        <f t="shared" si="27"/>
        <v>1000</v>
      </c>
      <c r="G76" s="145">
        <f t="shared" si="27"/>
        <v>69</v>
      </c>
      <c r="H76" s="145">
        <f t="shared" si="27"/>
        <v>-20</v>
      </c>
      <c r="I76" s="145">
        <f t="shared" si="27"/>
        <v>28</v>
      </c>
      <c r="J76" s="148">
        <f t="shared" si="25"/>
        <v>374.82887940703915</v>
      </c>
      <c r="K76" s="149">
        <f t="shared" si="28"/>
        <v>374.82887940703915</v>
      </c>
      <c r="L76" s="47"/>
      <c r="M76" s="48" t="str">
        <f t="shared" si="26"/>
        <v/>
      </c>
      <c r="N76" s="48" t="str">
        <f t="shared" si="29"/>
        <v/>
      </c>
      <c r="O76" s="46">
        <v>1111.1111111111111</v>
      </c>
      <c r="P76" s="46">
        <v>76.666666666666671</v>
      </c>
      <c r="Q76" s="46">
        <v>-22.222222222222221</v>
      </c>
      <c r="R76" s="46">
        <v>31.111111111111111</v>
      </c>
      <c r="Y76" s="48" t="str">
        <f t="shared" si="30"/>
        <v/>
      </c>
    </row>
    <row r="77" spans="1:25" ht="22.5" customHeight="1" x14ac:dyDescent="0.2">
      <c r="A77" s="13">
        <f t="shared" si="4"/>
        <v>58</v>
      </c>
      <c r="C77" s="143" t="s">
        <v>71</v>
      </c>
      <c r="D77" s="144"/>
      <c r="E77" s="145">
        <v>905</v>
      </c>
      <c r="F77" s="146">
        <f t="shared" si="27"/>
        <v>836</v>
      </c>
      <c r="G77" s="145">
        <f t="shared" si="27"/>
        <v>164</v>
      </c>
      <c r="H77" s="145">
        <f t="shared" si="27"/>
        <v>35</v>
      </c>
      <c r="I77" s="145">
        <f t="shared" si="27"/>
        <v>215</v>
      </c>
      <c r="J77" s="148">
        <f t="shared" si="25"/>
        <v>377.36379497375651</v>
      </c>
      <c r="K77" s="149">
        <f t="shared" si="28"/>
        <v>451.39209925090495</v>
      </c>
      <c r="L77" s="47"/>
      <c r="M77" s="48" t="str">
        <f t="shared" si="26"/>
        <v/>
      </c>
      <c r="N77" s="48" t="str">
        <f t="shared" si="29"/>
        <v/>
      </c>
      <c r="O77" s="46">
        <v>923.75690607734805</v>
      </c>
      <c r="P77" s="46">
        <v>181.21546961325967</v>
      </c>
      <c r="Q77" s="46">
        <v>38.674033149171272</v>
      </c>
      <c r="R77" s="46">
        <v>237.56906077348066</v>
      </c>
      <c r="Y77" s="48" t="str">
        <f t="shared" si="30"/>
        <v/>
      </c>
    </row>
    <row r="78" spans="1:25" s="29" customFormat="1" ht="22.5" customHeight="1" x14ac:dyDescent="0.2">
      <c r="A78" s="13"/>
      <c r="B78" s="14"/>
      <c r="C78" s="158" t="s">
        <v>116</v>
      </c>
      <c r="D78" s="159"/>
      <c r="E78" s="159"/>
      <c r="F78" s="159"/>
      <c r="G78" s="159"/>
      <c r="H78" s="159"/>
      <c r="I78" s="159"/>
      <c r="J78" s="159"/>
      <c r="K78" s="160"/>
      <c r="L78" s="42"/>
      <c r="M78" s="43" t="str">
        <f t="shared" si="26"/>
        <v/>
      </c>
      <c r="N78" s="48"/>
      <c r="O78" s="44"/>
      <c r="P78" s="44"/>
      <c r="Q78" s="44"/>
      <c r="R78" s="44"/>
      <c r="Y78" s="48" t="str">
        <f t="shared" si="30"/>
        <v/>
      </c>
    </row>
    <row r="79" spans="1:25" ht="22.5" customHeight="1" x14ac:dyDescent="0.2">
      <c r="A79" s="13">
        <v>59</v>
      </c>
      <c r="B79" s="45" t="s">
        <v>30</v>
      </c>
      <c r="C79" s="143" t="s">
        <v>77</v>
      </c>
      <c r="D79" s="144"/>
      <c r="E79" s="145">
        <v>230</v>
      </c>
      <c r="F79" s="146">
        <f t="shared" ref="F79:F89" si="31">+O79*$E79/1000</f>
        <v>243</v>
      </c>
      <c r="G79" s="145">
        <f t="shared" ref="G79:G89" si="32">+P79*$E79/1000</f>
        <v>14.72</v>
      </c>
      <c r="H79" s="145">
        <f t="shared" ref="H79:H89" si="33">+Q79*$E79/1000</f>
        <v>-15.41</v>
      </c>
      <c r="I79" s="145">
        <f t="shared" ref="I79:I89" si="34">+R79*$E79/1000</f>
        <v>6</v>
      </c>
      <c r="J79" s="148">
        <f t="shared" ref="J79:J89" si="35">((G79*2.2167*D$1+(F79-$G79*2.2167)*D$2)/1000+H79*D$3/(2.875))*IF(D79="  ",1,(100-D79)/100)</f>
        <v>87.026318548864012</v>
      </c>
      <c r="K79" s="149">
        <f t="shared" ref="K79:K89" si="36">+J79*1000/F79</f>
        <v>358.13299814347329</v>
      </c>
      <c r="L79" s="47"/>
      <c r="M79" s="48" t="str">
        <f t="shared" si="26"/>
        <v/>
      </c>
      <c r="N79" s="48" t="str">
        <f t="shared" si="29"/>
        <v/>
      </c>
      <c r="O79" s="46">
        <v>1056.5217391304348</v>
      </c>
      <c r="P79" s="46">
        <v>64</v>
      </c>
      <c r="Q79" s="46">
        <v>-67</v>
      </c>
      <c r="R79" s="46">
        <v>26.086956521739129</v>
      </c>
      <c r="Y79" s="48" t="str">
        <f t="shared" si="30"/>
        <v/>
      </c>
    </row>
    <row r="80" spans="1:25" ht="22.5" customHeight="1" x14ac:dyDescent="0.2">
      <c r="A80" s="13">
        <f t="shared" ref="A80:A133" si="37">+A79+1</f>
        <v>60</v>
      </c>
      <c r="B80" s="45" t="s">
        <v>30</v>
      </c>
      <c r="C80" s="143" t="s">
        <v>78</v>
      </c>
      <c r="D80" s="144"/>
      <c r="E80" s="145">
        <v>175</v>
      </c>
      <c r="F80" s="146">
        <f t="shared" si="31"/>
        <v>179.375</v>
      </c>
      <c r="G80" s="145">
        <f t="shared" si="32"/>
        <v>12.95</v>
      </c>
      <c r="H80" s="145">
        <f t="shared" si="33"/>
        <v>-8.9250000000000007</v>
      </c>
      <c r="I80" s="145">
        <f t="shared" si="34"/>
        <v>11.666666666666668</v>
      </c>
      <c r="J80" s="148">
        <f t="shared" si="35"/>
        <v>65.919501967241104</v>
      </c>
      <c r="K80" s="149">
        <f t="shared" si="36"/>
        <v>367.49548135047303</v>
      </c>
      <c r="L80" s="47"/>
      <c r="M80" s="48" t="str">
        <f t="shared" si="26"/>
        <v/>
      </c>
      <c r="N80" s="48" t="str">
        <f t="shared" si="29"/>
        <v/>
      </c>
      <c r="O80" s="46">
        <v>1025</v>
      </c>
      <c r="P80" s="46">
        <v>74</v>
      </c>
      <c r="Q80" s="46">
        <v>-51</v>
      </c>
      <c r="R80" s="46">
        <v>66.666666666666671</v>
      </c>
      <c r="Y80" s="48" t="str">
        <f t="shared" si="30"/>
        <v/>
      </c>
    </row>
    <row r="81" spans="1:25" ht="22.5" customHeight="1" x14ac:dyDescent="0.2">
      <c r="A81" s="13">
        <f t="shared" si="37"/>
        <v>61</v>
      </c>
      <c r="B81" s="45" t="s">
        <v>30</v>
      </c>
      <c r="C81" s="143" t="s">
        <v>79</v>
      </c>
      <c r="D81" s="144"/>
      <c r="E81" s="145">
        <v>165</v>
      </c>
      <c r="F81" s="146">
        <v>182</v>
      </c>
      <c r="G81" s="145">
        <f t="shared" si="32"/>
        <v>12.21</v>
      </c>
      <c r="H81" s="145">
        <f t="shared" si="33"/>
        <v>-8.4149999999999991</v>
      </c>
      <c r="I81" s="145">
        <f t="shared" si="34"/>
        <v>11.88</v>
      </c>
      <c r="J81" s="148">
        <f t="shared" si="35"/>
        <v>66.647657658398742</v>
      </c>
      <c r="K81" s="149">
        <f t="shared" si="36"/>
        <v>366.19592119999311</v>
      </c>
      <c r="L81" s="47"/>
      <c r="M81" s="48" t="str">
        <f t="shared" si="26"/>
        <v/>
      </c>
      <c r="N81" s="48" t="str">
        <f t="shared" si="29"/>
        <v/>
      </c>
      <c r="O81" s="46">
        <v>1088</v>
      </c>
      <c r="P81" s="46">
        <v>74</v>
      </c>
      <c r="Q81" s="46">
        <v>-51</v>
      </c>
      <c r="R81" s="46">
        <v>72</v>
      </c>
      <c r="Y81" s="48" t="str">
        <f t="shared" si="30"/>
        <v/>
      </c>
    </row>
    <row r="82" spans="1:25" ht="22.5" customHeight="1" x14ac:dyDescent="0.2">
      <c r="A82" s="13">
        <f t="shared" si="37"/>
        <v>62</v>
      </c>
      <c r="B82" s="45" t="s">
        <v>30</v>
      </c>
      <c r="C82" s="143" t="s">
        <v>80</v>
      </c>
      <c r="D82" s="144"/>
      <c r="E82" s="145">
        <v>100</v>
      </c>
      <c r="F82" s="146">
        <f t="shared" si="31"/>
        <v>109</v>
      </c>
      <c r="G82" s="145">
        <f t="shared" si="32"/>
        <v>8</v>
      </c>
      <c r="H82" s="145">
        <f t="shared" si="33"/>
        <v>-1.9</v>
      </c>
      <c r="I82" s="145">
        <f t="shared" si="34"/>
        <v>10</v>
      </c>
      <c r="J82" s="148">
        <f t="shared" si="35"/>
        <v>41.158616059165219</v>
      </c>
      <c r="K82" s="149">
        <f t="shared" si="36"/>
        <v>377.60198219417634</v>
      </c>
      <c r="L82" s="47"/>
      <c r="M82" s="48" t="str">
        <f t="shared" si="26"/>
        <v/>
      </c>
      <c r="N82" s="48" t="str">
        <f t="shared" si="29"/>
        <v/>
      </c>
      <c r="O82" s="46">
        <v>1090</v>
      </c>
      <c r="P82" s="46">
        <v>80</v>
      </c>
      <c r="Q82" s="46">
        <v>-19</v>
      </c>
      <c r="R82" s="46">
        <v>100</v>
      </c>
      <c r="Y82" s="48" t="str">
        <f t="shared" si="30"/>
        <v/>
      </c>
    </row>
    <row r="83" spans="1:25" ht="22.5" customHeight="1" x14ac:dyDescent="0.2">
      <c r="A83" s="13">
        <f t="shared" si="37"/>
        <v>63</v>
      </c>
      <c r="C83" s="143" t="s">
        <v>81</v>
      </c>
      <c r="D83" s="144"/>
      <c r="E83" s="145">
        <v>120</v>
      </c>
      <c r="F83" s="146">
        <f t="shared" si="31"/>
        <v>125.33333333333331</v>
      </c>
      <c r="G83" s="145">
        <f t="shared" si="32"/>
        <v>12</v>
      </c>
      <c r="H83" s="145">
        <f t="shared" si="33"/>
        <v>-8.0000000000000018</v>
      </c>
      <c r="I83" s="145">
        <f t="shared" si="34"/>
        <v>6.666666666666667</v>
      </c>
      <c r="J83" s="148">
        <f t="shared" si="35"/>
        <v>46.890377893095646</v>
      </c>
      <c r="K83" s="149">
        <f t="shared" si="36"/>
        <v>374.12535553001851</v>
      </c>
      <c r="L83" s="47"/>
      <c r="M83" s="48" t="str">
        <f t="shared" si="26"/>
        <v/>
      </c>
      <c r="N83" s="48" t="str">
        <f t="shared" si="29"/>
        <v/>
      </c>
      <c r="O83" s="46">
        <v>1044.4444444444443</v>
      </c>
      <c r="P83" s="46">
        <v>100</v>
      </c>
      <c r="Q83" s="46">
        <v>-66.666666666666671</v>
      </c>
      <c r="R83" s="46">
        <v>55.555555555555557</v>
      </c>
      <c r="Y83" s="48" t="str">
        <f t="shared" si="30"/>
        <v/>
      </c>
    </row>
    <row r="84" spans="1:25" ht="22.5" customHeight="1" x14ac:dyDescent="0.2">
      <c r="A84" s="13">
        <f t="shared" si="37"/>
        <v>64</v>
      </c>
      <c r="C84" s="143" t="s">
        <v>82</v>
      </c>
      <c r="D84" s="144"/>
      <c r="E84" s="145">
        <v>150</v>
      </c>
      <c r="F84" s="146">
        <f t="shared" si="31"/>
        <v>156</v>
      </c>
      <c r="G84" s="145">
        <f t="shared" si="32"/>
        <v>15</v>
      </c>
      <c r="H84" s="145">
        <f t="shared" si="33"/>
        <v>-10</v>
      </c>
      <c r="I84" s="145">
        <f t="shared" si="34"/>
        <v>8.0769230769230766</v>
      </c>
      <c r="J84" s="148">
        <f t="shared" si="35"/>
        <v>58.380222366369566</v>
      </c>
      <c r="K84" s="149">
        <f t="shared" si="36"/>
        <v>374.23219465621514</v>
      </c>
      <c r="L84" s="47"/>
      <c r="M84" s="48" t="str">
        <f t="shared" si="26"/>
        <v/>
      </c>
      <c r="N84" s="48" t="str">
        <f t="shared" si="29"/>
        <v/>
      </c>
      <c r="O84" s="46">
        <v>1040</v>
      </c>
      <c r="P84" s="46">
        <v>100</v>
      </c>
      <c r="Q84" s="46">
        <v>-66.666666666666671</v>
      </c>
      <c r="R84" s="46">
        <v>53.84615384615384</v>
      </c>
      <c r="Y84" s="48" t="str">
        <f t="shared" si="30"/>
        <v/>
      </c>
    </row>
    <row r="85" spans="1:25" ht="22.5" customHeight="1" x14ac:dyDescent="0.2">
      <c r="A85" s="13">
        <f t="shared" si="37"/>
        <v>65</v>
      </c>
      <c r="C85" s="143" t="s">
        <v>83</v>
      </c>
      <c r="D85" s="144"/>
      <c r="E85" s="145">
        <v>130</v>
      </c>
      <c r="F85" s="146">
        <f t="shared" si="31"/>
        <v>125</v>
      </c>
      <c r="G85" s="145">
        <f t="shared" si="32"/>
        <v>9</v>
      </c>
      <c r="H85" s="145">
        <f t="shared" si="33"/>
        <v>-2</v>
      </c>
      <c r="I85" s="145">
        <f t="shared" si="34"/>
        <v>7</v>
      </c>
      <c r="J85" s="148">
        <f t="shared" si="35"/>
        <v>47.173267115473905</v>
      </c>
      <c r="K85" s="149">
        <f t="shared" si="36"/>
        <v>377.38613692379124</v>
      </c>
      <c r="L85" s="47"/>
      <c r="M85" s="48" t="str">
        <f t="shared" si="26"/>
        <v/>
      </c>
      <c r="N85" s="48" t="str">
        <f t="shared" si="29"/>
        <v/>
      </c>
      <c r="O85" s="46">
        <v>961.53846153846155</v>
      </c>
      <c r="P85" s="46">
        <v>69.230769230769226</v>
      </c>
      <c r="Q85" s="46">
        <v>-15.384615384615385</v>
      </c>
      <c r="R85" s="46">
        <v>53.846153846153847</v>
      </c>
      <c r="Y85" s="48" t="str">
        <f t="shared" si="30"/>
        <v/>
      </c>
    </row>
    <row r="86" spans="1:25" ht="22.5" customHeight="1" x14ac:dyDescent="0.2">
      <c r="A86" s="13">
        <f t="shared" si="37"/>
        <v>66</v>
      </c>
      <c r="C86" s="143" t="s">
        <v>84</v>
      </c>
      <c r="D86" s="144"/>
      <c r="E86" s="145">
        <v>150</v>
      </c>
      <c r="F86" s="146">
        <f t="shared" si="31"/>
        <v>144</v>
      </c>
      <c r="G86" s="145">
        <f t="shared" si="32"/>
        <v>9.6</v>
      </c>
      <c r="H86" s="145">
        <f t="shared" si="33"/>
        <v>-9.9</v>
      </c>
      <c r="I86" s="145">
        <f t="shared" si="34"/>
        <v>10</v>
      </c>
      <c r="J86" s="148">
        <f t="shared" si="35"/>
        <v>51.745919705780871</v>
      </c>
      <c r="K86" s="149">
        <f t="shared" si="36"/>
        <v>359.34666462347826</v>
      </c>
      <c r="L86" s="47"/>
      <c r="M86" s="48" t="str">
        <f t="shared" si="26"/>
        <v/>
      </c>
      <c r="N86" s="48" t="str">
        <f t="shared" si="29"/>
        <v/>
      </c>
      <c r="O86" s="46">
        <v>960</v>
      </c>
      <c r="P86" s="46">
        <v>64</v>
      </c>
      <c r="Q86" s="46">
        <v>-66</v>
      </c>
      <c r="R86" s="46">
        <v>66.666666666666671</v>
      </c>
      <c r="Y86" s="48" t="str">
        <f t="shared" si="30"/>
        <v/>
      </c>
    </row>
    <row r="87" spans="1:25" ht="22.5" customHeight="1" x14ac:dyDescent="0.2">
      <c r="A87" s="13">
        <f t="shared" si="37"/>
        <v>67</v>
      </c>
      <c r="C87" s="143" t="s">
        <v>85</v>
      </c>
      <c r="D87" s="144"/>
      <c r="E87" s="145">
        <v>220</v>
      </c>
      <c r="F87" s="146">
        <f t="shared" si="31"/>
        <v>230</v>
      </c>
      <c r="G87" s="145">
        <f t="shared" si="32"/>
        <v>16.059999999999999</v>
      </c>
      <c r="H87" s="145">
        <f t="shared" si="33"/>
        <v>-3.7839999999999998</v>
      </c>
      <c r="I87" s="145">
        <f t="shared" si="34"/>
        <v>10</v>
      </c>
      <c r="J87" s="148">
        <f t="shared" si="35"/>
        <v>86.538955529535045</v>
      </c>
      <c r="K87" s="149">
        <f t="shared" si="36"/>
        <v>376.25632838928277</v>
      </c>
      <c r="L87" s="47"/>
      <c r="M87" s="48" t="str">
        <f t="shared" si="26"/>
        <v/>
      </c>
      <c r="N87" s="48" t="str">
        <f t="shared" si="29"/>
        <v/>
      </c>
      <c r="O87" s="46">
        <v>1045.4545454545455</v>
      </c>
      <c r="P87" s="46">
        <v>73</v>
      </c>
      <c r="Q87" s="46">
        <v>-17.2</v>
      </c>
      <c r="R87" s="46">
        <v>45.454545454545453</v>
      </c>
      <c r="Y87" s="48" t="str">
        <f t="shared" si="30"/>
        <v/>
      </c>
    </row>
    <row r="88" spans="1:25" ht="22.5" customHeight="1" x14ac:dyDescent="0.2">
      <c r="A88" s="13">
        <f t="shared" si="37"/>
        <v>68</v>
      </c>
      <c r="C88" s="143" t="s">
        <v>86</v>
      </c>
      <c r="D88" s="144"/>
      <c r="E88" s="145">
        <v>150</v>
      </c>
      <c r="F88" s="146">
        <f t="shared" si="31"/>
        <v>120</v>
      </c>
      <c r="G88" s="145">
        <f t="shared" si="32"/>
        <v>0</v>
      </c>
      <c r="H88" s="145">
        <f t="shared" si="33"/>
        <v>-6</v>
      </c>
      <c r="I88" s="145">
        <f t="shared" si="34"/>
        <v>0</v>
      </c>
      <c r="J88" s="148">
        <f t="shared" si="35"/>
        <v>40.121086956521744</v>
      </c>
      <c r="K88" s="149">
        <f t="shared" si="36"/>
        <v>334.34239130434787</v>
      </c>
      <c r="L88" s="47"/>
      <c r="M88" s="48" t="str">
        <f t="shared" si="26"/>
        <v/>
      </c>
      <c r="N88" s="48" t="str">
        <f t="shared" si="29"/>
        <v/>
      </c>
      <c r="O88" s="46">
        <v>800</v>
      </c>
      <c r="P88" s="46">
        <v>0</v>
      </c>
      <c r="Q88" s="46">
        <v>-40</v>
      </c>
      <c r="R88" s="46">
        <v>0</v>
      </c>
      <c r="Y88" s="48" t="str">
        <f t="shared" si="30"/>
        <v/>
      </c>
    </row>
    <row r="89" spans="1:25" ht="22.5" customHeight="1" x14ac:dyDescent="0.2">
      <c r="A89" s="13">
        <f t="shared" si="37"/>
        <v>69</v>
      </c>
      <c r="C89" s="143" t="s">
        <v>87</v>
      </c>
      <c r="D89" s="144"/>
      <c r="E89" s="145">
        <v>180</v>
      </c>
      <c r="F89" s="146">
        <f t="shared" si="31"/>
        <v>150</v>
      </c>
      <c r="G89" s="145">
        <f t="shared" si="32"/>
        <v>0</v>
      </c>
      <c r="H89" s="145">
        <f t="shared" si="33"/>
        <v>-7.2</v>
      </c>
      <c r="I89" s="145">
        <f t="shared" si="34"/>
        <v>0</v>
      </c>
      <c r="J89" s="148">
        <f t="shared" si="35"/>
        <v>50.240054347826089</v>
      </c>
      <c r="K89" s="149">
        <f t="shared" si="36"/>
        <v>334.93369565217392</v>
      </c>
      <c r="L89" s="47"/>
      <c r="M89" s="48" t="str">
        <f t="shared" si="26"/>
        <v/>
      </c>
      <c r="N89" s="48" t="str">
        <f t="shared" si="29"/>
        <v/>
      </c>
      <c r="O89" s="46">
        <v>833.33333333333337</v>
      </c>
      <c r="P89" s="46">
        <v>0</v>
      </c>
      <c r="Q89" s="46">
        <v>-40</v>
      </c>
      <c r="R89" s="46">
        <v>0</v>
      </c>
      <c r="Y89" s="48" t="str">
        <f t="shared" si="30"/>
        <v/>
      </c>
    </row>
    <row r="90" spans="1:25" ht="22.5" customHeight="1" x14ac:dyDescent="0.25">
      <c r="C90" s="161" t="s">
        <v>72</v>
      </c>
      <c r="D90" s="162"/>
      <c r="E90" s="162"/>
      <c r="F90" s="162"/>
      <c r="G90" s="162"/>
      <c r="H90" s="162"/>
      <c r="I90" s="162"/>
      <c r="J90" s="162"/>
      <c r="K90" s="163"/>
      <c r="L90" s="55"/>
      <c r="M90" s="56" t="str">
        <f t="shared" si="26"/>
        <v/>
      </c>
      <c r="N90" s="48"/>
      <c r="O90" s="57"/>
      <c r="P90" s="57"/>
      <c r="Q90" s="57"/>
      <c r="R90" s="57"/>
      <c r="Y90" s="48" t="str">
        <f t="shared" si="30"/>
        <v/>
      </c>
    </row>
    <row r="91" spans="1:25" ht="22.5" customHeight="1" x14ac:dyDescent="0.2">
      <c r="A91" s="13">
        <v>70</v>
      </c>
      <c r="B91" s="14" t="s">
        <v>31</v>
      </c>
      <c r="C91" s="143" t="s">
        <v>92</v>
      </c>
      <c r="D91" s="144">
        <v>20</v>
      </c>
      <c r="E91" s="145">
        <v>120</v>
      </c>
      <c r="F91" s="146">
        <f t="shared" ref="F91:F101" si="38">+O91*$E91/1000</f>
        <v>125.33333333333331</v>
      </c>
      <c r="G91" s="145">
        <f t="shared" ref="G91:G101" si="39">+P91*$E91/1000</f>
        <v>12</v>
      </c>
      <c r="H91" s="145">
        <f t="shared" ref="H91:H101" si="40">+Q91*$E91/1000</f>
        <v>-8.0000000000000018</v>
      </c>
      <c r="I91" s="145">
        <f t="shared" ref="I91:I101" si="41">+R91*$E91/1000</f>
        <v>6.666666666666667</v>
      </c>
      <c r="J91" s="148">
        <f t="shared" ref="J91:J101" si="42">((G91*2.2167*D$1+(F91-$G91*2.2167)*D$2)/1000+H91*D$3/(2.875))*IF(D91="  ",1,(100-D91)/100)</f>
        <v>37.512302314476521</v>
      </c>
      <c r="K91" s="149">
        <f t="shared" ref="K91:K101" si="43">+J91*1000/F91</f>
        <v>299.30028442401488</v>
      </c>
      <c r="L91" s="47"/>
      <c r="M91" s="48" t="str">
        <f t="shared" si="26"/>
        <v/>
      </c>
      <c r="N91" s="48" t="str">
        <f t="shared" si="29"/>
        <v/>
      </c>
      <c r="O91" s="46">
        <v>1044.4444444444443</v>
      </c>
      <c r="P91" s="46">
        <v>100</v>
      </c>
      <c r="Q91" s="46">
        <v>-66.666666666666671</v>
      </c>
      <c r="R91" s="46">
        <v>55.555555555555557</v>
      </c>
      <c r="Y91" s="48" t="str">
        <f t="shared" si="30"/>
        <v/>
      </c>
    </row>
    <row r="92" spans="1:25" ht="22.5" customHeight="1" x14ac:dyDescent="0.2">
      <c r="A92" s="13">
        <f t="shared" si="37"/>
        <v>71</v>
      </c>
      <c r="B92" s="14" t="s">
        <v>31</v>
      </c>
      <c r="C92" s="143" t="s">
        <v>93</v>
      </c>
      <c r="D92" s="144">
        <v>15</v>
      </c>
      <c r="E92" s="145">
        <v>150</v>
      </c>
      <c r="F92" s="146">
        <f t="shared" si="38"/>
        <v>156</v>
      </c>
      <c r="G92" s="145">
        <f t="shared" si="39"/>
        <v>15</v>
      </c>
      <c r="H92" s="145">
        <f t="shared" si="40"/>
        <v>-10</v>
      </c>
      <c r="I92" s="145">
        <f t="shared" si="41"/>
        <v>8.0769230769230766</v>
      </c>
      <c r="J92" s="148">
        <f t="shared" si="42"/>
        <v>49.623189011414127</v>
      </c>
      <c r="K92" s="149">
        <f t="shared" si="43"/>
        <v>318.09736545778287</v>
      </c>
      <c r="L92" s="47"/>
      <c r="M92" s="48" t="str">
        <f t="shared" si="26"/>
        <v/>
      </c>
      <c r="N92" s="48" t="str">
        <f t="shared" si="29"/>
        <v/>
      </c>
      <c r="O92" s="46">
        <v>1040</v>
      </c>
      <c r="P92" s="46">
        <v>100</v>
      </c>
      <c r="Q92" s="46">
        <v>-66.666666666666671</v>
      </c>
      <c r="R92" s="46">
        <v>53.84615384615384</v>
      </c>
      <c r="Y92" s="48" t="str">
        <f t="shared" si="30"/>
        <v/>
      </c>
    </row>
    <row r="93" spans="1:25" ht="22.5" customHeight="1" x14ac:dyDescent="0.2">
      <c r="A93" s="13">
        <f t="shared" si="37"/>
        <v>72</v>
      </c>
      <c r="B93" s="14" t="s">
        <v>31</v>
      </c>
      <c r="C93" s="143" t="s">
        <v>94</v>
      </c>
      <c r="D93" s="144">
        <v>10</v>
      </c>
      <c r="E93" s="145">
        <v>235</v>
      </c>
      <c r="F93" s="146">
        <f t="shared" si="38"/>
        <v>245.07142857142858</v>
      </c>
      <c r="G93" s="145">
        <f t="shared" si="39"/>
        <v>23.5</v>
      </c>
      <c r="H93" s="145">
        <f t="shared" si="40"/>
        <v>-15.666666666666668</v>
      </c>
      <c r="I93" s="145">
        <f t="shared" si="41"/>
        <v>12.309523809523808</v>
      </c>
      <c r="J93" s="148">
        <f t="shared" si="42"/>
        <v>82.527084786581085</v>
      </c>
      <c r="K93" s="149">
        <f t="shared" si="43"/>
        <v>336.74706703938648</v>
      </c>
      <c r="L93" s="47"/>
      <c r="M93" s="48" t="str">
        <f t="shared" si="26"/>
        <v/>
      </c>
      <c r="N93" s="48" t="str">
        <f t="shared" si="29"/>
        <v/>
      </c>
      <c r="O93" s="46">
        <v>1042.8571428571429</v>
      </c>
      <c r="P93" s="46">
        <v>100</v>
      </c>
      <c r="Q93" s="46">
        <v>-66.666666666666671</v>
      </c>
      <c r="R93" s="46">
        <v>52.38095238095238</v>
      </c>
      <c r="Y93" s="48" t="str">
        <f t="shared" si="30"/>
        <v/>
      </c>
    </row>
    <row r="94" spans="1:25" ht="22.5" customHeight="1" x14ac:dyDescent="0.2">
      <c r="A94" s="13">
        <f t="shared" si="37"/>
        <v>73</v>
      </c>
      <c r="B94" s="14" t="s">
        <v>28</v>
      </c>
      <c r="C94" s="143" t="s">
        <v>88</v>
      </c>
      <c r="D94" s="144">
        <v>20</v>
      </c>
      <c r="E94" s="145">
        <v>120</v>
      </c>
      <c r="F94" s="146">
        <f t="shared" si="38"/>
        <v>112</v>
      </c>
      <c r="G94" s="145">
        <f t="shared" si="39"/>
        <v>7.92</v>
      </c>
      <c r="H94" s="145">
        <f t="shared" si="40"/>
        <v>-3.72</v>
      </c>
      <c r="I94" s="145">
        <f t="shared" si="41"/>
        <v>10</v>
      </c>
      <c r="J94" s="148">
        <f t="shared" si="42"/>
        <v>33.30499744059798</v>
      </c>
      <c r="K94" s="149">
        <f t="shared" si="43"/>
        <v>297.3660485767677</v>
      </c>
      <c r="L94" s="47"/>
      <c r="M94" s="48" t="str">
        <f t="shared" si="26"/>
        <v/>
      </c>
      <c r="N94" s="48" t="str">
        <f t="shared" si="29"/>
        <v/>
      </c>
      <c r="O94" s="46">
        <v>933.33333333333337</v>
      </c>
      <c r="P94" s="46">
        <v>66</v>
      </c>
      <c r="Q94" s="46">
        <v>-31</v>
      </c>
      <c r="R94" s="46">
        <v>83.333333333333329</v>
      </c>
      <c r="Y94" s="48" t="str">
        <f t="shared" si="30"/>
        <v/>
      </c>
    </row>
    <row r="95" spans="1:25" ht="22.5" customHeight="1" x14ac:dyDescent="0.2">
      <c r="A95" s="13">
        <f t="shared" si="37"/>
        <v>74</v>
      </c>
      <c r="B95" s="14" t="s">
        <v>28</v>
      </c>
      <c r="C95" s="143" t="s">
        <v>73</v>
      </c>
      <c r="D95" s="144">
        <v>10</v>
      </c>
      <c r="E95" s="145">
        <v>350</v>
      </c>
      <c r="F95" s="146">
        <f t="shared" si="38"/>
        <v>350</v>
      </c>
      <c r="G95" s="145">
        <f t="shared" si="39"/>
        <v>34</v>
      </c>
      <c r="H95" s="145">
        <f t="shared" si="40"/>
        <v>-20</v>
      </c>
      <c r="I95" s="145">
        <f t="shared" si="41"/>
        <v>35</v>
      </c>
      <c r="J95" s="148">
        <f t="shared" si="42"/>
        <v>118.67405384478521</v>
      </c>
      <c r="K95" s="149">
        <f t="shared" si="43"/>
        <v>339.06872527081487</v>
      </c>
      <c r="L95" s="47"/>
      <c r="M95" s="48" t="str">
        <f t="shared" si="26"/>
        <v/>
      </c>
      <c r="N95" s="48" t="str">
        <f t="shared" si="29"/>
        <v/>
      </c>
      <c r="O95" s="46">
        <v>1000</v>
      </c>
      <c r="P95" s="46">
        <v>97.142857142857139</v>
      </c>
      <c r="Q95" s="46">
        <v>-57.142857142857146</v>
      </c>
      <c r="R95" s="46">
        <v>100</v>
      </c>
      <c r="Y95" s="48" t="str">
        <f t="shared" si="30"/>
        <v/>
      </c>
    </row>
    <row r="96" spans="1:25" ht="22.5" customHeight="1" x14ac:dyDescent="0.2">
      <c r="A96" s="13">
        <f t="shared" si="37"/>
        <v>75</v>
      </c>
      <c r="B96" s="14" t="s">
        <v>28</v>
      </c>
      <c r="C96" s="143" t="s">
        <v>74</v>
      </c>
      <c r="D96" s="144">
        <v>10</v>
      </c>
      <c r="E96" s="145">
        <v>350</v>
      </c>
      <c r="F96" s="146">
        <f t="shared" si="38"/>
        <v>315</v>
      </c>
      <c r="G96" s="145">
        <f t="shared" si="39"/>
        <v>0</v>
      </c>
      <c r="H96" s="145">
        <f t="shared" si="40"/>
        <v>-21</v>
      </c>
      <c r="I96" s="145">
        <f t="shared" si="41"/>
        <v>0</v>
      </c>
      <c r="J96" s="148">
        <f t="shared" si="42"/>
        <v>93.38911141304348</v>
      </c>
      <c r="K96" s="149">
        <f t="shared" si="43"/>
        <v>296.47336956521741</v>
      </c>
      <c r="L96" s="47"/>
      <c r="M96" s="48" t="str">
        <f t="shared" si="26"/>
        <v/>
      </c>
      <c r="N96" s="48" t="str">
        <f t="shared" si="29"/>
        <v/>
      </c>
      <c r="O96" s="46">
        <v>900</v>
      </c>
      <c r="P96" s="46">
        <v>0</v>
      </c>
      <c r="Q96" s="46">
        <v>-60</v>
      </c>
      <c r="R96" s="46">
        <v>0</v>
      </c>
      <c r="Y96" s="48" t="str">
        <f t="shared" si="30"/>
        <v/>
      </c>
    </row>
    <row r="97" spans="1:25" ht="22.5" customHeight="1" x14ac:dyDescent="0.2">
      <c r="A97" s="13">
        <f t="shared" si="37"/>
        <v>76</v>
      </c>
      <c r="B97" s="14" t="s">
        <v>28</v>
      </c>
      <c r="C97" s="143" t="s">
        <v>75</v>
      </c>
      <c r="D97" s="144">
        <v>10</v>
      </c>
      <c r="E97" s="145">
        <v>300</v>
      </c>
      <c r="F97" s="146">
        <f t="shared" si="38"/>
        <v>255</v>
      </c>
      <c r="G97" s="145">
        <f t="shared" si="39"/>
        <v>0</v>
      </c>
      <c r="H97" s="145">
        <f t="shared" si="40"/>
        <v>-18</v>
      </c>
      <c r="I97" s="145">
        <f t="shared" si="41"/>
        <v>0</v>
      </c>
      <c r="J97" s="148">
        <f t="shared" si="42"/>
        <v>75.334622282608706</v>
      </c>
      <c r="K97" s="149">
        <f t="shared" si="43"/>
        <v>295.42989130434785</v>
      </c>
      <c r="L97" s="47"/>
      <c r="M97" s="48" t="str">
        <f t="shared" si="26"/>
        <v/>
      </c>
      <c r="N97" s="48" t="str">
        <f t="shared" si="29"/>
        <v/>
      </c>
      <c r="O97" s="46">
        <v>850</v>
      </c>
      <c r="P97" s="46">
        <v>0</v>
      </c>
      <c r="Q97" s="46">
        <v>-60</v>
      </c>
      <c r="R97" s="46">
        <v>0</v>
      </c>
      <c r="Y97" s="48" t="str">
        <f t="shared" si="30"/>
        <v/>
      </c>
    </row>
    <row r="98" spans="1:25" ht="22.5" customHeight="1" x14ac:dyDescent="0.2">
      <c r="A98" s="13">
        <f t="shared" si="37"/>
        <v>77</v>
      </c>
      <c r="B98" s="14" t="s">
        <v>28</v>
      </c>
      <c r="C98" s="143" t="s">
        <v>76</v>
      </c>
      <c r="D98" s="144">
        <v>10</v>
      </c>
      <c r="E98" s="145">
        <v>250</v>
      </c>
      <c r="F98" s="146">
        <f t="shared" si="38"/>
        <v>200</v>
      </c>
      <c r="G98" s="145">
        <f t="shared" si="39"/>
        <v>0</v>
      </c>
      <c r="H98" s="145">
        <f t="shared" si="40"/>
        <v>-15</v>
      </c>
      <c r="I98" s="145">
        <f t="shared" si="41"/>
        <v>0</v>
      </c>
      <c r="J98" s="148">
        <f t="shared" si="42"/>
        <v>58.851195652173914</v>
      </c>
      <c r="K98" s="149">
        <f t="shared" si="43"/>
        <v>294.25597826086954</v>
      </c>
      <c r="L98" s="47"/>
      <c r="M98" s="48" t="str">
        <f t="shared" si="26"/>
        <v/>
      </c>
      <c r="N98" s="48" t="str">
        <f t="shared" si="29"/>
        <v/>
      </c>
      <c r="O98" s="46">
        <v>800</v>
      </c>
      <c r="P98" s="46">
        <v>0</v>
      </c>
      <c r="Q98" s="46">
        <v>-60</v>
      </c>
      <c r="R98" s="46">
        <v>0</v>
      </c>
      <c r="Y98" s="48" t="str">
        <f t="shared" si="30"/>
        <v/>
      </c>
    </row>
    <row r="99" spans="1:25" ht="22.5" customHeight="1" x14ac:dyDescent="0.2">
      <c r="A99" s="13">
        <f t="shared" si="37"/>
        <v>78</v>
      </c>
      <c r="B99" s="14" t="s">
        <v>28</v>
      </c>
      <c r="C99" s="143" t="s">
        <v>89</v>
      </c>
      <c r="D99" s="144">
        <v>15</v>
      </c>
      <c r="E99" s="145">
        <v>150</v>
      </c>
      <c r="F99" s="146">
        <f t="shared" si="38"/>
        <v>157</v>
      </c>
      <c r="G99" s="145">
        <f t="shared" si="39"/>
        <v>11</v>
      </c>
      <c r="H99" s="145">
        <f t="shared" si="40"/>
        <v>-8</v>
      </c>
      <c r="I99" s="145">
        <f t="shared" si="41"/>
        <v>5</v>
      </c>
      <c r="J99" s="148">
        <f t="shared" si="42"/>
        <v>48.864618626486298</v>
      </c>
      <c r="K99" s="149">
        <f t="shared" si="43"/>
        <v>311.23960908589999</v>
      </c>
      <c r="L99" s="47"/>
      <c r="M99" s="48" t="str">
        <f t="shared" si="26"/>
        <v/>
      </c>
      <c r="N99" s="48" t="str">
        <f t="shared" si="29"/>
        <v/>
      </c>
      <c r="O99" s="46">
        <v>1046.6666666666667</v>
      </c>
      <c r="P99" s="46">
        <v>73.333333333333329</v>
      </c>
      <c r="Q99" s="46">
        <v>-53.333333333333336</v>
      </c>
      <c r="R99" s="46">
        <v>33.333333333333336</v>
      </c>
      <c r="Y99" s="48" t="str">
        <f t="shared" si="30"/>
        <v/>
      </c>
    </row>
    <row r="100" spans="1:25" ht="22.5" customHeight="1" x14ac:dyDescent="0.2">
      <c r="A100" s="13">
        <f t="shared" si="37"/>
        <v>79</v>
      </c>
      <c r="B100" s="14" t="s">
        <v>28</v>
      </c>
      <c r="C100" s="143" t="s">
        <v>90</v>
      </c>
      <c r="D100" s="144">
        <v>10</v>
      </c>
      <c r="E100" s="145">
        <v>250</v>
      </c>
      <c r="F100" s="146">
        <f t="shared" si="38"/>
        <v>234.375</v>
      </c>
      <c r="G100" s="145">
        <f t="shared" si="39"/>
        <v>23.958333333333332</v>
      </c>
      <c r="H100" s="145">
        <f t="shared" si="40"/>
        <v>27.083333333333332</v>
      </c>
      <c r="I100" s="145">
        <f t="shared" si="41"/>
        <v>52.083333333333336</v>
      </c>
      <c r="J100" s="148">
        <f t="shared" si="42"/>
        <v>90.730364828286696</v>
      </c>
      <c r="K100" s="149">
        <f t="shared" si="43"/>
        <v>387.11622326735653</v>
      </c>
      <c r="L100" s="47"/>
      <c r="M100" s="48" t="str">
        <f t="shared" si="26"/>
        <v/>
      </c>
      <c r="N100" s="48" t="str">
        <f t="shared" si="29"/>
        <v/>
      </c>
      <c r="O100" s="46">
        <v>937.5</v>
      </c>
      <c r="P100" s="46">
        <v>95.833333333333329</v>
      </c>
      <c r="Q100" s="46">
        <v>108.33333333333333</v>
      </c>
      <c r="R100" s="46">
        <v>208.33333333333334</v>
      </c>
      <c r="Y100" s="48" t="str">
        <f t="shared" si="30"/>
        <v/>
      </c>
    </row>
    <row r="101" spans="1:25" ht="22.5" customHeight="1" x14ac:dyDescent="0.2">
      <c r="A101" s="13">
        <f t="shared" si="37"/>
        <v>80</v>
      </c>
      <c r="B101" s="14" t="s">
        <v>28</v>
      </c>
      <c r="C101" s="143" t="s">
        <v>91</v>
      </c>
      <c r="D101" s="144">
        <v>7</v>
      </c>
      <c r="E101" s="145">
        <v>440</v>
      </c>
      <c r="F101" s="146">
        <f t="shared" si="38"/>
        <v>467.72</v>
      </c>
      <c r="G101" s="145">
        <f t="shared" si="39"/>
        <v>41.36</v>
      </c>
      <c r="H101" s="145">
        <f t="shared" si="40"/>
        <v>21.56</v>
      </c>
      <c r="I101" s="145">
        <f t="shared" si="41"/>
        <v>70</v>
      </c>
      <c r="J101" s="148">
        <f t="shared" si="42"/>
        <v>175.41551278331144</v>
      </c>
      <c r="K101" s="149">
        <f t="shared" si="43"/>
        <v>375.04385697278593</v>
      </c>
      <c r="L101" s="47"/>
      <c r="M101" s="48" t="str">
        <f t="shared" si="26"/>
        <v/>
      </c>
      <c r="N101" s="48" t="str">
        <f t="shared" si="29"/>
        <v/>
      </c>
      <c r="O101" s="46">
        <v>1063</v>
      </c>
      <c r="P101" s="46">
        <v>94</v>
      </c>
      <c r="Q101" s="46">
        <v>49</v>
      </c>
      <c r="R101" s="46">
        <v>159.09090909090909</v>
      </c>
      <c r="Y101" s="48" t="str">
        <f t="shared" si="30"/>
        <v/>
      </c>
    </row>
    <row r="102" spans="1:25" ht="22.5" customHeight="1" x14ac:dyDescent="0.25">
      <c r="C102" s="161" t="s">
        <v>117</v>
      </c>
      <c r="D102" s="162"/>
      <c r="E102" s="162"/>
      <c r="F102" s="162"/>
      <c r="G102" s="162"/>
      <c r="H102" s="162"/>
      <c r="I102" s="162"/>
      <c r="J102" s="162"/>
      <c r="K102" s="163"/>
      <c r="L102" s="55"/>
      <c r="M102" s="56" t="str">
        <f t="shared" si="26"/>
        <v/>
      </c>
      <c r="N102" s="48"/>
      <c r="O102" s="57"/>
      <c r="P102" s="57"/>
      <c r="Q102" s="57"/>
      <c r="R102" s="57"/>
      <c r="Y102" s="48" t="str">
        <f t="shared" si="30"/>
        <v/>
      </c>
    </row>
    <row r="103" spans="1:25" ht="22.5" customHeight="1" x14ac:dyDescent="0.2">
      <c r="A103" s="13">
        <v>81</v>
      </c>
      <c r="C103" s="143" t="s">
        <v>118</v>
      </c>
      <c r="D103" s="144"/>
      <c r="E103" s="146">
        <v>870</v>
      </c>
      <c r="F103" s="146">
        <f t="shared" ref="F103:I109" si="44">+O103*$E103/1000</f>
        <v>710</v>
      </c>
      <c r="G103" s="145">
        <f t="shared" si="44"/>
        <v>65</v>
      </c>
      <c r="H103" s="145">
        <f t="shared" si="44"/>
        <v>30.000000000000004</v>
      </c>
      <c r="I103" s="145">
        <f t="shared" si="44"/>
        <v>125</v>
      </c>
      <c r="J103" s="148">
        <f t="shared" ref="J103:J109" si="45">((G103*2.2167*D$1+(F103-$G103*2.2167)*D$2)/1000+H103*D$3/(2.875))*IF(D103="  ",1,(100-D103)/100)</f>
        <v>286.53237300789129</v>
      </c>
      <c r="K103" s="149">
        <f t="shared" ref="K103:K109" si="46">+J103*1000/F103</f>
        <v>403.56672254632576</v>
      </c>
      <c r="L103" s="47"/>
      <c r="M103" s="48" t="str">
        <f t="shared" si="26"/>
        <v/>
      </c>
      <c r="N103" s="48" t="str">
        <f t="shared" si="29"/>
        <v/>
      </c>
      <c r="O103" s="46">
        <v>816.09195402298849</v>
      </c>
      <c r="P103" s="46">
        <v>74.712643678160916</v>
      </c>
      <c r="Q103" s="46">
        <v>34.482758620689658</v>
      </c>
      <c r="R103" s="46">
        <v>143.67816091954023</v>
      </c>
      <c r="Y103" s="48" t="str">
        <f t="shared" si="30"/>
        <v/>
      </c>
    </row>
    <row r="104" spans="1:25" ht="22.5" customHeight="1" x14ac:dyDescent="0.2">
      <c r="A104" s="13">
        <f t="shared" si="37"/>
        <v>82</v>
      </c>
      <c r="C104" s="143" t="s">
        <v>119</v>
      </c>
      <c r="D104" s="144"/>
      <c r="E104" s="146">
        <v>870</v>
      </c>
      <c r="F104" s="146">
        <f t="shared" si="44"/>
        <v>800</v>
      </c>
      <c r="G104" s="145">
        <f t="shared" si="44"/>
        <v>75</v>
      </c>
      <c r="H104" s="145">
        <f t="shared" si="44"/>
        <v>26</v>
      </c>
      <c r="I104" s="145">
        <f t="shared" si="44"/>
        <v>130</v>
      </c>
      <c r="J104" s="148">
        <f t="shared" si="45"/>
        <v>321.35317704923909</v>
      </c>
      <c r="K104" s="149">
        <f t="shared" si="46"/>
        <v>401.69147131154887</v>
      </c>
      <c r="L104" s="47"/>
      <c r="M104" s="48" t="str">
        <f t="shared" si="26"/>
        <v/>
      </c>
      <c r="N104" s="48" t="str">
        <f t="shared" si="29"/>
        <v/>
      </c>
      <c r="O104" s="46">
        <v>919.54022988505744</v>
      </c>
      <c r="P104" s="46">
        <v>86.206896551724142</v>
      </c>
      <c r="Q104" s="46">
        <v>29.885057471264368</v>
      </c>
      <c r="R104" s="46">
        <v>149.42528735632183</v>
      </c>
      <c r="Y104" s="48" t="str">
        <f t="shared" si="30"/>
        <v/>
      </c>
    </row>
    <row r="105" spans="1:25" ht="22.5" customHeight="1" x14ac:dyDescent="0.2">
      <c r="A105" s="13">
        <f t="shared" si="37"/>
        <v>83</v>
      </c>
      <c r="C105" s="143" t="s">
        <v>120</v>
      </c>
      <c r="D105" s="144"/>
      <c r="E105" s="146">
        <v>825</v>
      </c>
      <c r="F105" s="146">
        <f t="shared" si="44"/>
        <v>600</v>
      </c>
      <c r="G105" s="145">
        <f t="shared" si="44"/>
        <v>31</v>
      </c>
      <c r="H105" s="145">
        <f t="shared" si="44"/>
        <v>-14</v>
      </c>
      <c r="I105" s="145">
        <f t="shared" si="44"/>
        <v>40</v>
      </c>
      <c r="J105" s="148">
        <f t="shared" si="45"/>
        <v>219.54057404991738</v>
      </c>
      <c r="K105" s="149">
        <f t="shared" si="46"/>
        <v>365.9009567498623</v>
      </c>
      <c r="L105" s="47"/>
      <c r="M105" s="48" t="str">
        <f t="shared" si="26"/>
        <v/>
      </c>
      <c r="N105" s="48" t="str">
        <f t="shared" si="29"/>
        <v/>
      </c>
      <c r="O105" s="46">
        <v>727.27272727272725</v>
      </c>
      <c r="P105" s="46">
        <v>37.575757575757578</v>
      </c>
      <c r="Q105" s="46">
        <v>-16.969696969696969</v>
      </c>
      <c r="R105" s="46">
        <v>48.484848484848484</v>
      </c>
      <c r="Y105" s="48" t="str">
        <f t="shared" si="30"/>
        <v/>
      </c>
    </row>
    <row r="106" spans="1:25" ht="22.5" customHeight="1" x14ac:dyDescent="0.2">
      <c r="A106" s="13">
        <f t="shared" si="37"/>
        <v>84</v>
      </c>
      <c r="C106" s="143" t="s">
        <v>121</v>
      </c>
      <c r="D106" s="144"/>
      <c r="E106" s="146">
        <v>730</v>
      </c>
      <c r="F106" s="146">
        <f t="shared" si="44"/>
        <v>770</v>
      </c>
      <c r="G106" s="145">
        <f t="shared" si="44"/>
        <v>50</v>
      </c>
      <c r="H106" s="145">
        <f t="shared" si="44"/>
        <v>8</v>
      </c>
      <c r="I106" s="145">
        <f t="shared" si="44"/>
        <v>70</v>
      </c>
      <c r="J106" s="148">
        <f t="shared" si="45"/>
        <v>294.10228107630434</v>
      </c>
      <c r="K106" s="149">
        <f t="shared" si="46"/>
        <v>381.95101438481083</v>
      </c>
      <c r="L106" s="47"/>
      <c r="M106" s="48" t="str">
        <f t="shared" si="26"/>
        <v/>
      </c>
      <c r="N106" s="48" t="str">
        <f t="shared" si="29"/>
        <v/>
      </c>
      <c r="O106" s="46">
        <v>1054.7945205479452</v>
      </c>
      <c r="P106" s="46">
        <v>68.493150684931507</v>
      </c>
      <c r="Q106" s="46">
        <v>10.95890410958904</v>
      </c>
      <c r="R106" s="46">
        <v>95.890410958904113</v>
      </c>
      <c r="Y106" s="48" t="str">
        <f t="shared" si="30"/>
        <v/>
      </c>
    </row>
    <row r="107" spans="1:25" ht="22.5" customHeight="1" x14ac:dyDescent="0.2">
      <c r="A107" s="13">
        <f t="shared" si="37"/>
        <v>85</v>
      </c>
      <c r="C107" s="143" t="s">
        <v>122</v>
      </c>
      <c r="D107" s="144"/>
      <c r="E107" s="146">
        <v>865</v>
      </c>
      <c r="F107" s="146">
        <f t="shared" si="44"/>
        <v>919.99999999999989</v>
      </c>
      <c r="G107" s="145">
        <f t="shared" si="44"/>
        <v>97</v>
      </c>
      <c r="H107" s="145">
        <f t="shared" si="44"/>
        <v>135</v>
      </c>
      <c r="I107" s="145">
        <f t="shared" si="44"/>
        <v>210</v>
      </c>
      <c r="J107" s="148">
        <f t="shared" si="45"/>
        <v>405.55502202716087</v>
      </c>
      <c r="K107" s="149">
        <f t="shared" si="46"/>
        <v>440.82067611647926</v>
      </c>
      <c r="L107" s="47"/>
      <c r="M107" s="48" t="str">
        <f t="shared" si="26"/>
        <v/>
      </c>
      <c r="N107" s="48" t="str">
        <f t="shared" si="29"/>
        <v/>
      </c>
      <c r="O107" s="46">
        <v>1063.5838150289017</v>
      </c>
      <c r="P107" s="46">
        <v>112.13872832369943</v>
      </c>
      <c r="Q107" s="46">
        <v>156.06936416184971</v>
      </c>
      <c r="R107" s="46">
        <v>242.77456647398844</v>
      </c>
      <c r="Y107" s="48" t="str">
        <f t="shared" si="30"/>
        <v/>
      </c>
    </row>
    <row r="108" spans="1:25" ht="22.5" customHeight="1" x14ac:dyDescent="0.2">
      <c r="A108" s="13">
        <f t="shared" si="37"/>
        <v>86</v>
      </c>
      <c r="C108" s="143" t="s">
        <v>123</v>
      </c>
      <c r="D108" s="144"/>
      <c r="E108" s="146">
        <v>880</v>
      </c>
      <c r="F108" s="146">
        <f t="shared" si="44"/>
        <v>948</v>
      </c>
      <c r="G108" s="145">
        <f t="shared" si="44"/>
        <v>68</v>
      </c>
      <c r="H108" s="145">
        <f t="shared" si="44"/>
        <v>-33</v>
      </c>
      <c r="I108" s="145">
        <f t="shared" si="44"/>
        <v>75</v>
      </c>
      <c r="J108" s="148">
        <f t="shared" si="45"/>
        <v>352.37268487246956</v>
      </c>
      <c r="K108" s="149">
        <f t="shared" si="46"/>
        <v>371.70114438024217</v>
      </c>
      <c r="L108" s="47"/>
      <c r="M108" s="48" t="str">
        <f t="shared" si="26"/>
        <v/>
      </c>
      <c r="N108" s="48" t="str">
        <f t="shared" si="29"/>
        <v/>
      </c>
      <c r="O108" s="46">
        <v>1077.2727272727273</v>
      </c>
      <c r="P108" s="46">
        <v>77.272727272727266</v>
      </c>
      <c r="Q108" s="46">
        <v>-37.5</v>
      </c>
      <c r="R108" s="46">
        <v>85.227272727272734</v>
      </c>
      <c r="Y108" s="48" t="str">
        <f t="shared" si="30"/>
        <v/>
      </c>
    </row>
    <row r="109" spans="1:25" ht="22.5" customHeight="1" x14ac:dyDescent="0.2">
      <c r="A109" s="13">
        <f t="shared" si="37"/>
        <v>87</v>
      </c>
      <c r="C109" s="143" t="s">
        <v>124</v>
      </c>
      <c r="D109" s="150"/>
      <c r="E109" s="145">
        <v>900</v>
      </c>
      <c r="F109" s="146">
        <f t="shared" si="44"/>
        <v>974.99999999999989</v>
      </c>
      <c r="G109" s="145">
        <f t="shared" si="44"/>
        <v>107</v>
      </c>
      <c r="H109" s="145">
        <f t="shared" si="44"/>
        <v>50</v>
      </c>
      <c r="I109" s="145">
        <f t="shared" si="44"/>
        <v>160</v>
      </c>
      <c r="J109" s="148">
        <f t="shared" si="45"/>
        <v>404.20862498155208</v>
      </c>
      <c r="K109" s="149">
        <f t="shared" si="46"/>
        <v>414.57294869902779</v>
      </c>
      <c r="L109" s="47"/>
      <c r="M109" s="48" t="str">
        <f t="shared" si="26"/>
        <v/>
      </c>
      <c r="N109" s="48" t="str">
        <f t="shared" si="29"/>
        <v/>
      </c>
      <c r="O109" s="46">
        <v>1083.3333333333333</v>
      </c>
      <c r="P109" s="46">
        <v>118.88888888888889</v>
      </c>
      <c r="Q109" s="46">
        <v>55.555555555555557</v>
      </c>
      <c r="R109" s="46">
        <v>177.77777777777777</v>
      </c>
      <c r="Y109" s="48" t="str">
        <f t="shared" si="30"/>
        <v/>
      </c>
    </row>
    <row r="110" spans="1:25" s="29" customFormat="1" ht="22.5" customHeight="1" x14ac:dyDescent="0.2">
      <c r="A110" s="13"/>
      <c r="B110" s="14"/>
      <c r="C110" s="158" t="s">
        <v>168</v>
      </c>
      <c r="D110" s="159"/>
      <c r="E110" s="159"/>
      <c r="F110" s="159"/>
      <c r="G110" s="159"/>
      <c r="H110" s="159"/>
      <c r="I110" s="159"/>
      <c r="J110" s="159"/>
      <c r="K110" s="160"/>
      <c r="L110" s="42"/>
      <c r="M110" s="43" t="str">
        <f t="shared" si="26"/>
        <v/>
      </c>
      <c r="N110" s="48"/>
      <c r="O110" s="44"/>
      <c r="P110" s="44"/>
      <c r="Q110" s="44"/>
      <c r="R110" s="44"/>
      <c r="Y110" s="48" t="str">
        <f t="shared" si="30"/>
        <v/>
      </c>
    </row>
    <row r="111" spans="1:25" ht="22.5" customHeight="1" x14ac:dyDescent="0.2">
      <c r="A111" s="13">
        <v>88</v>
      </c>
      <c r="C111" s="143" t="s">
        <v>125</v>
      </c>
      <c r="D111" s="144"/>
      <c r="E111" s="145">
        <v>865</v>
      </c>
      <c r="F111" s="146">
        <f t="shared" ref="F111:I118" si="47">+O111*$E111/1000</f>
        <v>1068</v>
      </c>
      <c r="G111" s="145">
        <f t="shared" si="47"/>
        <v>94</v>
      </c>
      <c r="H111" s="145">
        <f t="shared" si="47"/>
        <v>-17</v>
      </c>
      <c r="I111" s="145">
        <f t="shared" si="47"/>
        <v>97</v>
      </c>
      <c r="J111" s="148">
        <f t="shared" ref="J111:J118" si="48">((G111*2.2167*D$1+(F111-$G111*2.2167)*D$2)/1000+H111*D$3/(2.875))*IF(D111="  ",1,(100-D111)/100)</f>
        <v>410.91174277127823</v>
      </c>
      <c r="K111" s="149">
        <f t="shared" ref="K111:K118" si="49">+J111*1000/F111</f>
        <v>384.74882281954893</v>
      </c>
      <c r="L111" s="47"/>
      <c r="M111" s="48" t="str">
        <f t="shared" si="26"/>
        <v/>
      </c>
      <c r="N111" s="48" t="str">
        <f t="shared" si="29"/>
        <v/>
      </c>
      <c r="O111" s="46">
        <v>1234.6820809248554</v>
      </c>
      <c r="P111" s="46">
        <v>108.67052023121387</v>
      </c>
      <c r="Q111" s="46">
        <v>-19.653179190751445</v>
      </c>
      <c r="R111" s="46">
        <v>112.13872832369943</v>
      </c>
      <c r="Y111" s="48" t="str">
        <f t="shared" si="30"/>
        <v/>
      </c>
    </row>
    <row r="112" spans="1:25" ht="22.5" customHeight="1" x14ac:dyDescent="0.2">
      <c r="A112" s="13">
        <f t="shared" si="37"/>
        <v>89</v>
      </c>
      <c r="C112" s="143" t="s">
        <v>126</v>
      </c>
      <c r="D112" s="144"/>
      <c r="E112" s="145">
        <v>865</v>
      </c>
      <c r="F112" s="146">
        <f t="shared" si="47"/>
        <v>985.99999999999989</v>
      </c>
      <c r="G112" s="145">
        <f t="shared" si="47"/>
        <v>83</v>
      </c>
      <c r="H112" s="145">
        <f t="shared" si="47"/>
        <v>-24</v>
      </c>
      <c r="I112" s="145">
        <f t="shared" si="47"/>
        <v>80</v>
      </c>
      <c r="J112" s="148">
        <f t="shared" si="48"/>
        <v>375.17354854318694</v>
      </c>
      <c r="K112" s="149">
        <f t="shared" si="49"/>
        <v>380.50055633183263</v>
      </c>
      <c r="L112" s="47"/>
      <c r="M112" s="48" t="str">
        <f t="shared" si="26"/>
        <v/>
      </c>
      <c r="N112" s="48" t="str">
        <f t="shared" si="29"/>
        <v/>
      </c>
      <c r="O112" s="46">
        <v>1139.8843930635837</v>
      </c>
      <c r="P112" s="46">
        <v>95.95375722543352</v>
      </c>
      <c r="Q112" s="46">
        <v>-27.745664739884393</v>
      </c>
      <c r="R112" s="46">
        <v>92.48554913294798</v>
      </c>
      <c r="Y112" s="48" t="str">
        <f t="shared" si="30"/>
        <v/>
      </c>
    </row>
    <row r="113" spans="1:25" ht="22.5" customHeight="1" x14ac:dyDescent="0.2">
      <c r="A113" s="13">
        <f t="shared" si="37"/>
        <v>90</v>
      </c>
      <c r="C113" s="143" t="s">
        <v>127</v>
      </c>
      <c r="D113" s="144"/>
      <c r="E113" s="145">
        <v>865</v>
      </c>
      <c r="F113" s="146">
        <f t="shared" si="47"/>
        <v>899.99999999999989</v>
      </c>
      <c r="G113" s="145">
        <f t="shared" si="47"/>
        <v>59</v>
      </c>
      <c r="H113" s="145">
        <f t="shared" si="47"/>
        <v>5</v>
      </c>
      <c r="I113" s="145">
        <f t="shared" si="47"/>
        <v>85</v>
      </c>
      <c r="J113" s="148">
        <f t="shared" si="48"/>
        <v>342.72552101786516</v>
      </c>
      <c r="K113" s="149">
        <f t="shared" si="49"/>
        <v>380.80613446429464</v>
      </c>
      <c r="L113" s="47"/>
      <c r="M113" s="48" t="str">
        <f t="shared" si="26"/>
        <v/>
      </c>
      <c r="N113" s="48" t="str">
        <f t="shared" si="29"/>
        <v/>
      </c>
      <c r="O113" s="46">
        <v>1040.4624277456646</v>
      </c>
      <c r="P113" s="46">
        <v>68.20809248554913</v>
      </c>
      <c r="Q113" s="46">
        <v>5.7803468208092488</v>
      </c>
      <c r="R113" s="46">
        <v>98.265895953757223</v>
      </c>
      <c r="Y113" s="48" t="str">
        <f t="shared" si="30"/>
        <v/>
      </c>
    </row>
    <row r="114" spans="1:25" ht="22.5" customHeight="1" x14ac:dyDescent="0.2">
      <c r="A114" s="13">
        <f t="shared" si="37"/>
        <v>91</v>
      </c>
      <c r="B114" s="147"/>
      <c r="C114" s="143" t="s">
        <v>128</v>
      </c>
      <c r="D114" s="144"/>
      <c r="E114" s="145">
        <v>865</v>
      </c>
      <c r="F114" s="146">
        <f t="shared" si="47"/>
        <v>865</v>
      </c>
      <c r="G114" s="145">
        <f t="shared" si="47"/>
        <v>56.999999999999993</v>
      </c>
      <c r="H114" s="145">
        <f t="shared" si="47"/>
        <v>5</v>
      </c>
      <c r="I114" s="145">
        <f t="shared" si="47"/>
        <v>80</v>
      </c>
      <c r="J114" s="148">
        <f t="shared" si="48"/>
        <v>329.58971347046514</v>
      </c>
      <c r="K114" s="149">
        <f t="shared" si="49"/>
        <v>381.02857048608689</v>
      </c>
      <c r="L114" s="47"/>
      <c r="M114" s="48" t="str">
        <f t="shared" si="26"/>
        <v/>
      </c>
      <c r="N114" s="48" t="str">
        <f t="shared" si="29"/>
        <v/>
      </c>
      <c r="O114" s="46">
        <v>1000</v>
      </c>
      <c r="P114" s="46">
        <v>65.895953757225428</v>
      </c>
      <c r="Q114" s="46">
        <v>5.7803468208092488</v>
      </c>
      <c r="R114" s="46">
        <v>92.48554913294798</v>
      </c>
      <c r="Y114" s="48" t="str">
        <f t="shared" si="30"/>
        <v/>
      </c>
    </row>
    <row r="115" spans="1:25" ht="22.5" customHeight="1" x14ac:dyDescent="0.2">
      <c r="A115" s="13">
        <f t="shared" si="37"/>
        <v>92</v>
      </c>
      <c r="B115" s="147"/>
      <c r="C115" s="143" t="s">
        <v>129</v>
      </c>
      <c r="D115" s="144"/>
      <c r="E115" s="145">
        <v>865</v>
      </c>
      <c r="F115" s="146">
        <f t="shared" si="47"/>
        <v>870</v>
      </c>
      <c r="G115" s="145">
        <f t="shared" si="47"/>
        <v>56.999999999999993</v>
      </c>
      <c r="H115" s="145">
        <f t="shared" si="47"/>
        <v>5</v>
      </c>
      <c r="I115" s="145">
        <f t="shared" si="47"/>
        <v>86</v>
      </c>
      <c r="J115" s="148">
        <f t="shared" si="48"/>
        <v>331.33533847046516</v>
      </c>
      <c r="K115" s="149">
        <f t="shared" si="49"/>
        <v>380.84521663271858</v>
      </c>
      <c r="L115" s="47"/>
      <c r="M115" s="48" t="str">
        <f t="shared" si="26"/>
        <v/>
      </c>
      <c r="N115" s="48" t="str">
        <f t="shared" si="29"/>
        <v/>
      </c>
      <c r="O115" s="46">
        <v>1005.7803468208092</v>
      </c>
      <c r="P115" s="46">
        <v>65.895953757225428</v>
      </c>
      <c r="Q115" s="46">
        <v>5.7803468208092488</v>
      </c>
      <c r="R115" s="46">
        <v>99.421965317919074</v>
      </c>
      <c r="Y115" s="48" t="str">
        <f t="shared" si="30"/>
        <v/>
      </c>
    </row>
    <row r="116" spans="1:25" ht="22.5" customHeight="1" x14ac:dyDescent="0.2">
      <c r="A116" s="13">
        <f t="shared" si="37"/>
        <v>93</v>
      </c>
      <c r="B116" s="147"/>
      <c r="C116" s="143" t="s">
        <v>130</v>
      </c>
      <c r="D116" s="144"/>
      <c r="E116" s="145">
        <v>870</v>
      </c>
      <c r="F116" s="146">
        <f t="shared" si="47"/>
        <v>1065</v>
      </c>
      <c r="G116" s="145">
        <f t="shared" si="47"/>
        <v>85</v>
      </c>
      <c r="H116" s="145">
        <f t="shared" si="47"/>
        <v>-15.999999999999998</v>
      </c>
      <c r="I116" s="145">
        <f t="shared" si="47"/>
        <v>88</v>
      </c>
      <c r="J116" s="148">
        <f t="shared" si="48"/>
        <v>406.03607348189132</v>
      </c>
      <c r="K116" s="149">
        <f t="shared" si="49"/>
        <v>381.25452909097777</v>
      </c>
      <c r="L116" s="47"/>
      <c r="M116" s="48" t="str">
        <f t="shared" si="26"/>
        <v/>
      </c>
      <c r="N116" s="48" t="str">
        <f t="shared" si="29"/>
        <v/>
      </c>
      <c r="O116" s="46">
        <v>1224.1379310344828</v>
      </c>
      <c r="P116" s="46">
        <v>97.701149425287355</v>
      </c>
      <c r="Q116" s="46">
        <v>-18.390804597701148</v>
      </c>
      <c r="R116" s="46">
        <v>101.14942528735632</v>
      </c>
      <c r="Y116" s="48" t="str">
        <f t="shared" si="30"/>
        <v/>
      </c>
    </row>
    <row r="117" spans="1:25" ht="22.5" customHeight="1" x14ac:dyDescent="0.2">
      <c r="A117" s="13">
        <f t="shared" si="37"/>
        <v>94</v>
      </c>
      <c r="B117" s="147"/>
      <c r="C117" s="143" t="s">
        <v>131</v>
      </c>
      <c r="D117" s="144"/>
      <c r="E117" s="145">
        <v>870</v>
      </c>
      <c r="F117" s="146">
        <f t="shared" si="47"/>
        <v>1054</v>
      </c>
      <c r="G117" s="145">
        <f t="shared" si="47"/>
        <v>91</v>
      </c>
      <c r="H117" s="145">
        <f t="shared" si="47"/>
        <v>-40</v>
      </c>
      <c r="I117" s="145">
        <f t="shared" si="47"/>
        <v>65</v>
      </c>
      <c r="J117" s="148">
        <f t="shared" si="48"/>
        <v>397.84934395017825</v>
      </c>
      <c r="K117" s="149">
        <f t="shared" si="49"/>
        <v>377.4661707307194</v>
      </c>
      <c r="L117" s="47"/>
      <c r="M117" s="48" t="str">
        <f t="shared" si="26"/>
        <v/>
      </c>
      <c r="N117" s="48" t="str">
        <f t="shared" si="29"/>
        <v/>
      </c>
      <c r="O117" s="46">
        <v>1211.4942528735633</v>
      </c>
      <c r="P117" s="46">
        <v>104.59770114942529</v>
      </c>
      <c r="Q117" s="46">
        <v>-45.977011494252871</v>
      </c>
      <c r="R117" s="46">
        <v>74.712643678160916</v>
      </c>
      <c r="Y117" s="48" t="str">
        <f t="shared" si="30"/>
        <v/>
      </c>
    </row>
    <row r="118" spans="1:25" ht="22.5" customHeight="1" x14ac:dyDescent="0.2">
      <c r="A118" s="13">
        <f t="shared" si="37"/>
        <v>95</v>
      </c>
      <c r="B118" s="147"/>
      <c r="C118" s="143" t="s">
        <v>132</v>
      </c>
      <c r="D118" s="144"/>
      <c r="E118" s="145">
        <v>880</v>
      </c>
      <c r="F118" s="146">
        <f t="shared" si="47"/>
        <v>927.00000000000011</v>
      </c>
      <c r="G118" s="145">
        <f t="shared" si="47"/>
        <v>56</v>
      </c>
      <c r="H118" s="145">
        <f t="shared" si="47"/>
        <v>-80</v>
      </c>
      <c r="I118" s="145">
        <f t="shared" si="47"/>
        <v>5</v>
      </c>
      <c r="J118" s="148">
        <f t="shared" si="48"/>
        <v>325.6468124141565</v>
      </c>
      <c r="K118" s="149">
        <f t="shared" si="49"/>
        <v>351.29105977794654</v>
      </c>
      <c r="L118" s="47"/>
      <c r="M118" s="48" t="str">
        <f t="shared" si="26"/>
        <v/>
      </c>
      <c r="N118" s="48" t="str">
        <f t="shared" si="29"/>
        <v/>
      </c>
      <c r="O118" s="46">
        <v>1053.409090909091</v>
      </c>
      <c r="P118" s="46">
        <v>63.636363636363633</v>
      </c>
      <c r="Q118" s="46">
        <v>-90.909090909090907</v>
      </c>
      <c r="R118" s="46">
        <v>5.6818181818181817</v>
      </c>
      <c r="Y118" s="48" t="str">
        <f t="shared" si="30"/>
        <v/>
      </c>
    </row>
    <row r="119" spans="1:25" ht="22.5" customHeight="1" x14ac:dyDescent="0.25">
      <c r="B119" s="147"/>
      <c r="C119" s="161" t="s">
        <v>169</v>
      </c>
      <c r="D119" s="162"/>
      <c r="E119" s="162"/>
      <c r="F119" s="162"/>
      <c r="G119" s="162"/>
      <c r="H119" s="162"/>
      <c r="I119" s="162"/>
      <c r="J119" s="162"/>
      <c r="K119" s="163"/>
      <c r="L119" s="55"/>
      <c r="M119" s="56" t="str">
        <f t="shared" ref="M119:M133" si="50">IF(ISBLANK(L119),"",+K119-L119*1000/F119)</f>
        <v/>
      </c>
      <c r="N119" s="48"/>
      <c r="O119" s="57"/>
      <c r="P119" s="57"/>
      <c r="Q119" s="57"/>
      <c r="R119" s="57"/>
      <c r="Y119" s="48" t="str">
        <f t="shared" si="30"/>
        <v/>
      </c>
    </row>
    <row r="120" spans="1:25" ht="22.5" customHeight="1" x14ac:dyDescent="0.2">
      <c r="A120" s="13">
        <v>96</v>
      </c>
      <c r="B120" s="147" t="s">
        <v>32</v>
      </c>
      <c r="C120" s="143" t="s">
        <v>95</v>
      </c>
      <c r="D120" s="144"/>
      <c r="E120" s="145">
        <v>930</v>
      </c>
      <c r="F120" s="146">
        <f t="shared" ref="F120:I125" si="51">+O120*$E120/1000</f>
        <v>1178</v>
      </c>
      <c r="G120" s="145">
        <f t="shared" si="51"/>
        <v>179</v>
      </c>
      <c r="H120" s="145">
        <f t="shared" si="51"/>
        <v>259</v>
      </c>
      <c r="I120" s="145">
        <f t="shared" si="51"/>
        <v>448</v>
      </c>
      <c r="J120" s="148">
        <f t="shared" ref="J120:J133" si="52">((G120*2.2167*D$1+(F120-$G120*2.2167)*D$2)/1000+H120*D$3/(2.875))*IF(D120="  ",1,(100-D120)/100)</f>
        <v>569.86387603577828</v>
      </c>
      <c r="K120" s="149">
        <f t="shared" ref="K120:K125" si="53">+J120*1000/F120</f>
        <v>483.75541259403934</v>
      </c>
      <c r="L120" s="47"/>
      <c r="M120" s="48" t="str">
        <f t="shared" si="50"/>
        <v/>
      </c>
      <c r="N120" s="48" t="str">
        <f t="shared" si="29"/>
        <v/>
      </c>
      <c r="O120" s="46">
        <v>1266.6666666666667</v>
      </c>
      <c r="P120" s="46">
        <v>192.47311827956989</v>
      </c>
      <c r="Q120" s="46">
        <v>278.49462365591398</v>
      </c>
      <c r="R120" s="46">
        <v>481.72043010752691</v>
      </c>
      <c r="Y120" s="48" t="str">
        <f t="shared" si="30"/>
        <v/>
      </c>
    </row>
    <row r="121" spans="1:25" ht="22.5" customHeight="1" x14ac:dyDescent="0.2">
      <c r="A121" s="13">
        <f t="shared" si="37"/>
        <v>97</v>
      </c>
      <c r="B121" s="147" t="s">
        <v>32</v>
      </c>
      <c r="C121" s="143" t="s">
        <v>96</v>
      </c>
      <c r="D121" s="144"/>
      <c r="E121" s="145">
        <v>920</v>
      </c>
      <c r="F121" s="146">
        <f t="shared" si="51"/>
        <v>940</v>
      </c>
      <c r="G121" s="145">
        <f t="shared" si="51"/>
        <v>192</v>
      </c>
      <c r="H121" s="145">
        <f t="shared" si="51"/>
        <v>173</v>
      </c>
      <c r="I121" s="145">
        <f t="shared" si="51"/>
        <v>340</v>
      </c>
      <c r="J121" s="148">
        <f t="shared" si="52"/>
        <v>467.30285063735647</v>
      </c>
      <c r="K121" s="149">
        <f t="shared" si="53"/>
        <v>497.13069216740047</v>
      </c>
      <c r="L121" s="47"/>
      <c r="M121" s="48" t="str">
        <f t="shared" si="50"/>
        <v/>
      </c>
      <c r="N121" s="48" t="str">
        <f t="shared" si="29"/>
        <v/>
      </c>
      <c r="O121" s="46">
        <v>1021.7391304347826</v>
      </c>
      <c r="P121" s="46">
        <v>208.69565217391303</v>
      </c>
      <c r="Q121" s="46">
        <v>188.04347826086956</v>
      </c>
      <c r="R121" s="46">
        <v>369.56521739130437</v>
      </c>
      <c r="Y121" s="48" t="str">
        <f t="shared" si="30"/>
        <v/>
      </c>
    </row>
    <row r="122" spans="1:25" ht="22.5" customHeight="1" x14ac:dyDescent="0.2">
      <c r="A122" s="13">
        <f t="shared" si="37"/>
        <v>98</v>
      </c>
      <c r="B122" s="147" t="s">
        <v>32</v>
      </c>
      <c r="C122" s="143" t="s">
        <v>97</v>
      </c>
      <c r="D122" s="144"/>
      <c r="E122" s="145">
        <v>910</v>
      </c>
      <c r="F122" s="146">
        <f t="shared" si="51"/>
        <v>1049</v>
      </c>
      <c r="G122" s="145">
        <f t="shared" si="51"/>
        <v>155</v>
      </c>
      <c r="H122" s="145">
        <f t="shared" si="51"/>
        <v>2.0000000000000004</v>
      </c>
      <c r="I122" s="145">
        <f t="shared" si="51"/>
        <v>164</v>
      </c>
      <c r="J122" s="148">
        <f t="shared" si="52"/>
        <v>437.84695177132608</v>
      </c>
      <c r="K122" s="149">
        <f t="shared" si="53"/>
        <v>417.39461560660254</v>
      </c>
      <c r="L122" s="47"/>
      <c r="M122" s="48" t="str">
        <f t="shared" si="50"/>
        <v/>
      </c>
      <c r="N122" s="48" t="str">
        <f t="shared" si="29"/>
        <v/>
      </c>
      <c r="O122" s="46">
        <v>1152.7472527472528</v>
      </c>
      <c r="P122" s="46">
        <v>170.32967032967034</v>
      </c>
      <c r="Q122" s="46">
        <v>2.197802197802198</v>
      </c>
      <c r="R122" s="46">
        <v>180.21978021978023</v>
      </c>
      <c r="Y122" s="48" t="str">
        <f t="shared" si="30"/>
        <v/>
      </c>
    </row>
    <row r="123" spans="1:25" ht="22.5" customHeight="1" x14ac:dyDescent="0.2">
      <c r="A123" s="13">
        <f t="shared" si="37"/>
        <v>99</v>
      </c>
      <c r="B123" s="147" t="s">
        <v>32</v>
      </c>
      <c r="C123" s="143" t="s">
        <v>98</v>
      </c>
      <c r="D123" s="144"/>
      <c r="E123" s="145">
        <v>890</v>
      </c>
      <c r="F123" s="146">
        <f t="shared" si="51"/>
        <v>922</v>
      </c>
      <c r="G123" s="145">
        <f t="shared" si="51"/>
        <v>129</v>
      </c>
      <c r="H123" s="145">
        <f t="shared" si="51"/>
        <v>150</v>
      </c>
      <c r="I123" s="145">
        <f t="shared" si="51"/>
        <v>290</v>
      </c>
      <c r="J123" s="148">
        <f t="shared" si="52"/>
        <v>425.35097539425647</v>
      </c>
      <c r="K123" s="149">
        <f t="shared" si="53"/>
        <v>461.33511431047339</v>
      </c>
      <c r="L123" s="47"/>
      <c r="M123" s="48" t="str">
        <f t="shared" si="50"/>
        <v/>
      </c>
      <c r="N123" s="48" t="str">
        <f t="shared" si="29"/>
        <v/>
      </c>
      <c r="O123" s="46">
        <v>1035.9550561797753</v>
      </c>
      <c r="P123" s="46">
        <v>144.9438202247191</v>
      </c>
      <c r="Q123" s="46">
        <v>168.53932584269663</v>
      </c>
      <c r="R123" s="46">
        <v>325.84269662921349</v>
      </c>
      <c r="Y123" s="48" t="str">
        <f t="shared" si="30"/>
        <v/>
      </c>
    </row>
    <row r="124" spans="1:25" ht="22.5" customHeight="1" x14ac:dyDescent="0.2">
      <c r="A124" s="13">
        <f t="shared" si="37"/>
        <v>100</v>
      </c>
      <c r="B124" s="147" t="s">
        <v>32</v>
      </c>
      <c r="C124" s="143" t="s">
        <v>99</v>
      </c>
      <c r="D124" s="144"/>
      <c r="E124" s="145">
        <v>890</v>
      </c>
      <c r="F124" s="146">
        <f t="shared" si="51"/>
        <v>942.00000000000011</v>
      </c>
      <c r="G124" s="145">
        <f t="shared" si="51"/>
        <v>155</v>
      </c>
      <c r="H124" s="145">
        <f t="shared" si="51"/>
        <v>102</v>
      </c>
      <c r="I124" s="145">
        <f t="shared" si="51"/>
        <v>282</v>
      </c>
      <c r="J124" s="148">
        <f t="shared" si="52"/>
        <v>430.05579416263049</v>
      </c>
      <c r="K124" s="149">
        <f t="shared" si="53"/>
        <v>456.53481333612575</v>
      </c>
      <c r="L124" s="47"/>
      <c r="M124" s="48" t="str">
        <f t="shared" si="50"/>
        <v/>
      </c>
      <c r="N124" s="48" t="str">
        <f t="shared" si="29"/>
        <v/>
      </c>
      <c r="O124" s="46">
        <v>1058.4269662921349</v>
      </c>
      <c r="P124" s="46">
        <v>174.15730337078651</v>
      </c>
      <c r="Q124" s="46">
        <v>114.6067415730337</v>
      </c>
      <c r="R124" s="46">
        <v>316.85393258426967</v>
      </c>
      <c r="Y124" s="48" t="str">
        <f t="shared" si="30"/>
        <v/>
      </c>
    </row>
    <row r="125" spans="1:25" ht="22.5" customHeight="1" x14ac:dyDescent="0.2">
      <c r="A125" s="13">
        <f t="shared" si="37"/>
        <v>101</v>
      </c>
      <c r="B125" s="147" t="s">
        <v>32</v>
      </c>
      <c r="C125" s="143" t="s">
        <v>100</v>
      </c>
      <c r="D125" s="144"/>
      <c r="E125" s="145">
        <v>925</v>
      </c>
      <c r="F125" s="146">
        <f t="shared" si="51"/>
        <v>970.00000000000011</v>
      </c>
      <c r="G125" s="145">
        <f t="shared" si="51"/>
        <v>99</v>
      </c>
      <c r="H125" s="145">
        <f t="shared" si="51"/>
        <v>-15.000000000000002</v>
      </c>
      <c r="I125" s="145">
        <f t="shared" si="51"/>
        <v>137</v>
      </c>
      <c r="J125" s="148">
        <f t="shared" si="52"/>
        <v>379.57987848760439</v>
      </c>
      <c r="K125" s="149">
        <f t="shared" si="53"/>
        <v>391.319462358355</v>
      </c>
      <c r="L125" s="47"/>
      <c r="M125" s="48" t="str">
        <f t="shared" si="50"/>
        <v/>
      </c>
      <c r="N125" s="48" t="str">
        <f t="shared" si="29"/>
        <v/>
      </c>
      <c r="O125" s="46">
        <v>1048.6486486486488</v>
      </c>
      <c r="P125" s="46">
        <v>107.02702702702703</v>
      </c>
      <c r="Q125" s="46">
        <v>-16.216216216216218</v>
      </c>
      <c r="R125" s="46">
        <v>148.1081081081081</v>
      </c>
      <c r="Y125" s="48" t="str">
        <f t="shared" si="30"/>
        <v/>
      </c>
    </row>
    <row r="126" spans="1:25" ht="22.5" customHeight="1" x14ac:dyDescent="0.2">
      <c r="A126" s="13">
        <f t="shared" si="37"/>
        <v>102</v>
      </c>
      <c r="B126" s="147" t="s">
        <v>33</v>
      </c>
      <c r="C126" s="143" t="s">
        <v>101</v>
      </c>
      <c r="D126" s="144"/>
      <c r="E126" s="145">
        <v>920</v>
      </c>
      <c r="F126" s="146">
        <v>1010</v>
      </c>
      <c r="G126" s="145">
        <f t="shared" ref="F126:I133" si="54">+P126*$E126/1000</f>
        <v>188</v>
      </c>
      <c r="H126" s="145">
        <f t="shared" si="54"/>
        <v>266</v>
      </c>
      <c r="I126" s="145">
        <f t="shared" si="54"/>
        <v>500</v>
      </c>
      <c r="J126" s="148">
        <f t="shared" si="52"/>
        <v>517.4043877164695</v>
      </c>
      <c r="K126" s="149">
        <f t="shared" ref="K126:K133" si="55">+J126*1000/F126</f>
        <v>512.28157199650445</v>
      </c>
      <c r="L126" s="47"/>
      <c r="M126" s="48" t="str">
        <f t="shared" si="50"/>
        <v/>
      </c>
      <c r="N126" s="48" t="str">
        <f t="shared" si="29"/>
        <v/>
      </c>
      <c r="O126" s="46">
        <v>1097.8260869565217</v>
      </c>
      <c r="P126" s="46">
        <v>204.34782608695653</v>
      </c>
      <c r="Q126" s="46">
        <v>289.13043478260869</v>
      </c>
      <c r="R126" s="46">
        <v>543.47826086956525</v>
      </c>
      <c r="Y126" s="48" t="str">
        <f t="shared" si="30"/>
        <v/>
      </c>
    </row>
    <row r="127" spans="1:25" ht="22.5" customHeight="1" x14ac:dyDescent="0.2">
      <c r="A127" s="13">
        <f t="shared" si="37"/>
        <v>103</v>
      </c>
      <c r="B127" s="147" t="s">
        <v>33</v>
      </c>
      <c r="C127" s="143" t="s">
        <v>102</v>
      </c>
      <c r="D127" s="144"/>
      <c r="E127" s="145">
        <v>900</v>
      </c>
      <c r="F127" s="146">
        <f t="shared" si="54"/>
        <v>816</v>
      </c>
      <c r="G127" s="145">
        <f t="shared" si="54"/>
        <v>210</v>
      </c>
      <c r="H127" s="145">
        <f t="shared" si="54"/>
        <v>183</v>
      </c>
      <c r="I127" s="145">
        <f t="shared" si="54"/>
        <v>342</v>
      </c>
      <c r="J127" s="148">
        <f t="shared" si="52"/>
        <v>435.21576530308698</v>
      </c>
      <c r="K127" s="149">
        <f t="shared" si="55"/>
        <v>533.35265355770457</v>
      </c>
      <c r="L127" s="47"/>
      <c r="M127" s="48" t="str">
        <f t="shared" si="50"/>
        <v/>
      </c>
      <c r="N127" s="48" t="str">
        <f t="shared" si="29"/>
        <v/>
      </c>
      <c r="O127" s="46">
        <v>906.66666666666663</v>
      </c>
      <c r="P127" s="46">
        <v>233.33333333333334</v>
      </c>
      <c r="Q127" s="46">
        <v>203.33333333333334</v>
      </c>
      <c r="R127" s="46">
        <v>380</v>
      </c>
      <c r="Y127" s="48" t="str">
        <f t="shared" si="30"/>
        <v/>
      </c>
    </row>
    <row r="128" spans="1:25" ht="22.5" customHeight="1" x14ac:dyDescent="0.2">
      <c r="A128" s="13">
        <f t="shared" si="37"/>
        <v>104</v>
      </c>
      <c r="B128" s="14" t="s">
        <v>33</v>
      </c>
      <c r="C128" s="143" t="s">
        <v>103</v>
      </c>
      <c r="D128" s="144"/>
      <c r="E128" s="145">
        <v>900</v>
      </c>
      <c r="F128" s="146">
        <f t="shared" si="54"/>
        <v>903</v>
      </c>
      <c r="G128" s="145">
        <f t="shared" si="54"/>
        <v>160</v>
      </c>
      <c r="H128" s="145">
        <f t="shared" si="54"/>
        <v>-1</v>
      </c>
      <c r="I128" s="145">
        <f t="shared" si="54"/>
        <v>185</v>
      </c>
      <c r="J128" s="148">
        <f t="shared" si="52"/>
        <v>388.27882661808695</v>
      </c>
      <c r="K128" s="149">
        <f t="shared" si="55"/>
        <v>429.987626376619</v>
      </c>
      <c r="L128" s="47"/>
      <c r="M128" s="48" t="str">
        <f t="shared" si="50"/>
        <v/>
      </c>
      <c r="N128" s="48" t="str">
        <f t="shared" si="29"/>
        <v/>
      </c>
      <c r="O128" s="46">
        <v>1003.3333333333334</v>
      </c>
      <c r="P128" s="46">
        <v>177.77777777777777</v>
      </c>
      <c r="Q128" s="46">
        <v>-1.1111111111111112</v>
      </c>
      <c r="R128" s="46">
        <v>205.55555555555554</v>
      </c>
      <c r="Y128" s="48" t="str">
        <f t="shared" si="30"/>
        <v/>
      </c>
    </row>
    <row r="129" spans="1:25" ht="22.5" customHeight="1" x14ac:dyDescent="0.2">
      <c r="A129" s="13">
        <f t="shared" si="37"/>
        <v>105</v>
      </c>
      <c r="B129" s="14" t="s">
        <v>33</v>
      </c>
      <c r="C129" s="143" t="s">
        <v>104</v>
      </c>
      <c r="D129" s="144"/>
      <c r="E129" s="145">
        <v>880</v>
      </c>
      <c r="F129" s="146">
        <f t="shared" si="54"/>
        <v>803</v>
      </c>
      <c r="G129" s="145">
        <f t="shared" si="54"/>
        <v>129</v>
      </c>
      <c r="H129" s="145">
        <f t="shared" si="54"/>
        <v>146</v>
      </c>
      <c r="I129" s="145">
        <f t="shared" si="54"/>
        <v>301</v>
      </c>
      <c r="J129" s="148">
        <f t="shared" si="52"/>
        <v>382.62249169860434</v>
      </c>
      <c r="K129" s="149">
        <f t="shared" si="55"/>
        <v>476.49127235193561</v>
      </c>
      <c r="L129" s="47"/>
      <c r="M129" s="48" t="str">
        <f t="shared" si="50"/>
        <v/>
      </c>
      <c r="N129" s="48" t="str">
        <f>IF(ISBLANK(L129),"",+J129-L129)</f>
        <v/>
      </c>
      <c r="O129" s="46">
        <v>912.5</v>
      </c>
      <c r="P129" s="46">
        <v>146.59090909090909</v>
      </c>
      <c r="Q129" s="46">
        <v>165.90909090909091</v>
      </c>
      <c r="R129" s="46">
        <v>342.04545454545456</v>
      </c>
      <c r="Y129" s="48" t="str">
        <f t="shared" si="30"/>
        <v/>
      </c>
    </row>
    <row r="130" spans="1:25" ht="22.5" customHeight="1" x14ac:dyDescent="0.2">
      <c r="A130" s="13">
        <f t="shared" si="37"/>
        <v>106</v>
      </c>
      <c r="B130" s="14" t="s">
        <v>33</v>
      </c>
      <c r="C130" s="143" t="s">
        <v>105</v>
      </c>
      <c r="D130" s="144"/>
      <c r="E130" s="145">
        <v>900</v>
      </c>
      <c r="F130" s="146">
        <f t="shared" si="54"/>
        <v>876</v>
      </c>
      <c r="G130" s="145">
        <f t="shared" si="54"/>
        <v>161</v>
      </c>
      <c r="H130" s="145">
        <f t="shared" si="54"/>
        <v>100</v>
      </c>
      <c r="I130" s="145">
        <f t="shared" si="54"/>
        <v>292</v>
      </c>
      <c r="J130" s="148">
        <f t="shared" si="52"/>
        <v>409.17153745700438</v>
      </c>
      <c r="K130" s="149">
        <f t="shared" si="55"/>
        <v>467.09079618379496</v>
      </c>
      <c r="L130" s="47"/>
      <c r="M130" s="48" t="str">
        <f t="shared" si="50"/>
        <v/>
      </c>
      <c r="N130" s="48" t="str">
        <f>IF(ISBLANK(L130),"",+J130-L130)</f>
        <v/>
      </c>
      <c r="O130" s="46">
        <v>973.33333333333337</v>
      </c>
      <c r="P130" s="46">
        <v>178.88888888888889</v>
      </c>
      <c r="Q130" s="46">
        <v>111.11111111111111</v>
      </c>
      <c r="R130" s="46">
        <v>324.44444444444446</v>
      </c>
      <c r="Y130" s="48" t="str">
        <f>IF(L130&gt;0,1000/F130,"")</f>
        <v/>
      </c>
    </row>
    <row r="131" spans="1:25" ht="22.5" customHeight="1" x14ac:dyDescent="0.2">
      <c r="A131" s="13">
        <f t="shared" si="37"/>
        <v>107</v>
      </c>
      <c r="B131" s="14" t="s">
        <v>33</v>
      </c>
      <c r="C131" s="143" t="s">
        <v>106</v>
      </c>
      <c r="D131" s="144"/>
      <c r="E131" s="145">
        <v>880</v>
      </c>
      <c r="F131" s="146">
        <f t="shared" si="54"/>
        <v>739</v>
      </c>
      <c r="G131" s="145">
        <f t="shared" si="54"/>
        <v>104</v>
      </c>
      <c r="H131" s="145">
        <f t="shared" si="54"/>
        <v>-16.000000000000004</v>
      </c>
      <c r="I131" s="145">
        <f t="shared" si="54"/>
        <v>124.99999999999999</v>
      </c>
      <c r="J131" s="148">
        <f t="shared" si="52"/>
        <v>300.9274326821913</v>
      </c>
      <c r="K131" s="149">
        <f t="shared" si="55"/>
        <v>407.20897521270814</v>
      </c>
      <c r="L131" s="47"/>
      <c r="M131" s="48" t="str">
        <f t="shared" si="50"/>
        <v/>
      </c>
      <c r="N131" s="48" t="str">
        <f>IF(ISBLANK(L131),"",+J131-L131)</f>
        <v/>
      </c>
      <c r="O131" s="46">
        <v>839.77272727272725</v>
      </c>
      <c r="P131" s="46">
        <v>118.18181818181819</v>
      </c>
      <c r="Q131" s="46">
        <v>-18.181818181818183</v>
      </c>
      <c r="R131" s="46">
        <v>142.04545454545453</v>
      </c>
      <c r="Y131" s="48" t="str">
        <f>IF(L131&gt;0,1000/F131,"")</f>
        <v/>
      </c>
    </row>
    <row r="132" spans="1:25" ht="22.5" customHeight="1" x14ac:dyDescent="0.2">
      <c r="A132" s="13">
        <f t="shared" si="37"/>
        <v>108</v>
      </c>
      <c r="B132" s="14" t="s">
        <v>33</v>
      </c>
      <c r="C132" s="143" t="s">
        <v>107</v>
      </c>
      <c r="D132" s="144"/>
      <c r="E132" s="145">
        <v>875</v>
      </c>
      <c r="F132" s="146">
        <f t="shared" si="54"/>
        <v>1005.0000000000001</v>
      </c>
      <c r="G132" s="145">
        <f t="shared" si="54"/>
        <v>238</v>
      </c>
      <c r="H132" s="145">
        <f t="shared" si="54"/>
        <v>199</v>
      </c>
      <c r="I132" s="145">
        <f t="shared" si="54"/>
        <v>410</v>
      </c>
      <c r="J132" s="148">
        <f t="shared" si="52"/>
        <v>518.76088074929567</v>
      </c>
      <c r="K132" s="149">
        <f t="shared" si="55"/>
        <v>516.17998084507019</v>
      </c>
      <c r="L132" s="47"/>
      <c r="M132" s="48" t="str">
        <f t="shared" si="50"/>
        <v/>
      </c>
      <c r="N132" s="48" t="str">
        <f>IF(ISBLANK(L132),"",+J132-L132)</f>
        <v/>
      </c>
      <c r="O132" s="46">
        <v>1148.5714285714287</v>
      </c>
      <c r="P132" s="46">
        <v>272</v>
      </c>
      <c r="Q132" s="46">
        <v>227.42857142857142</v>
      </c>
      <c r="R132" s="46">
        <v>468.57142857142856</v>
      </c>
      <c r="Y132" s="48" t="str">
        <f>IF(L132&gt;0,1000/F132,"")</f>
        <v/>
      </c>
    </row>
    <row r="133" spans="1:25" s="61" customFormat="1" ht="22.5" customHeight="1" thickBot="1" x14ac:dyDescent="0.25">
      <c r="A133" s="13">
        <f t="shared" si="37"/>
        <v>109</v>
      </c>
      <c r="B133" s="14" t="s">
        <v>33</v>
      </c>
      <c r="C133" s="151" t="s">
        <v>108</v>
      </c>
      <c r="D133" s="152"/>
      <c r="E133" s="153">
        <v>870</v>
      </c>
      <c r="F133" s="154">
        <f t="shared" si="54"/>
        <v>957</v>
      </c>
      <c r="G133" s="155">
        <f t="shared" si="54"/>
        <v>101</v>
      </c>
      <c r="H133" s="155">
        <f t="shared" si="54"/>
        <v>25</v>
      </c>
      <c r="I133" s="155">
        <f t="shared" si="54"/>
        <v>189</v>
      </c>
      <c r="J133" s="156">
        <f t="shared" si="52"/>
        <v>387.78377299152606</v>
      </c>
      <c r="K133" s="157">
        <f t="shared" si="55"/>
        <v>405.20770427536684</v>
      </c>
      <c r="L133" s="58"/>
      <c r="M133" s="59" t="str">
        <f t="shared" si="50"/>
        <v/>
      </c>
      <c r="N133" s="60" t="str">
        <f>IF(ISBLANK(L133),"",+J133-L133)</f>
        <v/>
      </c>
      <c r="O133" s="46">
        <v>1100</v>
      </c>
      <c r="P133" s="46">
        <v>116.0919540229885</v>
      </c>
      <c r="Q133" s="46">
        <v>28.735632183908045</v>
      </c>
      <c r="R133" s="46">
        <v>217.24137931034483</v>
      </c>
      <c r="Y133" s="62" t="str">
        <f>IF(L133&gt;0,1000/F133,"")</f>
        <v/>
      </c>
    </row>
  </sheetData>
  <sheetProtection algorithmName="SHA-512" hashValue="hqRLk7k1fUgxdZljSApz0FoPXO9diBmk/0JOLNBLtd7bglKcla5VO5XumHwYS9QUB7w2BCtzLJCk33KmzvROow==" saltValue="3q3QM1wU/BtJLNHuljMStw==" spinCount="100000" sheet="1" objects="1" scenarios="1"/>
  <customSheetViews>
    <customSheetView guid="{E9FF8B49-108B-4234-BFD2-33615CC78B8B}" showGridLines="0" hiddenRows="1" hiddenColumns="1" showRuler="0" topLeftCell="A4">
      <pane ySplit="3.6363636363636362" topLeftCell="A116" activePane="bottomLeft"/>
      <selection pane="bottomLeft" activeCell="F124" sqref="F124"/>
      <pageMargins left="1.05" right="0.28000000000000003" top="0.56999999999999995" bottom="0.44" header="0.51181102362204722" footer="0.41"/>
      <pageSetup paperSize="9" orientation="portrait" horizontalDpi="300" verticalDpi="300" r:id="rId1"/>
      <headerFooter alignWithMargins="0"/>
    </customSheetView>
  </customSheetViews>
  <mergeCells count="32">
    <mergeCell ref="A1:A4"/>
    <mergeCell ref="D1:E1"/>
    <mergeCell ref="D2:E2"/>
    <mergeCell ref="D3:E3"/>
    <mergeCell ref="D4:E4"/>
    <mergeCell ref="Z11:Z14"/>
    <mergeCell ref="E12:E14"/>
    <mergeCell ref="Y11:Y14"/>
    <mergeCell ref="A11:A14"/>
    <mergeCell ref="E11:I11"/>
    <mergeCell ref="C11:C14"/>
    <mergeCell ref="D11:D14"/>
    <mergeCell ref="F12:F14"/>
    <mergeCell ref="G12:G14"/>
    <mergeCell ref="I12:I14"/>
    <mergeCell ref="J11:J14"/>
    <mergeCell ref="K11:K14"/>
    <mergeCell ref="C15:K15"/>
    <mergeCell ref="C21:K21"/>
    <mergeCell ref="L1:L4"/>
    <mergeCell ref="C8:K9"/>
    <mergeCell ref="C7:K7"/>
    <mergeCell ref="H12:H14"/>
    <mergeCell ref="F1:K4"/>
    <mergeCell ref="C110:K110"/>
    <mergeCell ref="C119:K119"/>
    <mergeCell ref="C37:K37"/>
    <mergeCell ref="C40:K40"/>
    <mergeCell ref="C66:K66"/>
    <mergeCell ref="C78:K78"/>
    <mergeCell ref="C90:K90"/>
    <mergeCell ref="C102:K102"/>
  </mergeCells>
  <phoneticPr fontId="0" type="noConversion"/>
  <conditionalFormatting sqref="F10:K10 C8 F1 L1 L5:L10">
    <cfRule type="cellIs" dxfId="7" priority="5" stopIfTrue="1" operator="equal">
      <formula>$AM$6</formula>
    </cfRule>
    <cfRule type="cellIs" dxfId="6" priority="6" stopIfTrue="1" operator="equal">
      <formula>$AM$5</formula>
    </cfRule>
  </conditionalFormatting>
  <printOptions gridLinesSet="0"/>
  <pageMargins left="1.05" right="0.28000000000000003" top="0.56999999999999995" bottom="0.44" header="0.51181102362204722" footer="0.41"/>
  <pageSetup paperSize="9"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7"/>
  <sheetViews>
    <sheetView zoomScale="90" zoomScaleNormal="90" workbookViewId="0">
      <selection activeCell="A8" sqref="A8:A11"/>
    </sheetView>
  </sheetViews>
  <sheetFormatPr baseColWidth="10" defaultRowHeight="12.75" x14ac:dyDescent="0.2"/>
  <cols>
    <col min="1" max="1" width="4.42578125" style="119" customWidth="1"/>
    <col min="2" max="2" width="7.140625" style="119" customWidth="1"/>
    <col min="3" max="3" width="15.140625" style="120" customWidth="1"/>
    <col min="4" max="4" width="9.140625" style="119" customWidth="1"/>
    <col min="5" max="9" width="7.7109375" style="119" customWidth="1"/>
    <col min="10" max="10" width="9.85546875" style="119" customWidth="1"/>
    <col min="11" max="11" width="9" style="119" customWidth="1"/>
    <col min="12" max="12" width="10" style="119" bestFit="1" customWidth="1"/>
    <col min="13" max="13" width="10.28515625" style="119" customWidth="1"/>
    <col min="14" max="14" width="5.140625" style="65" hidden="1" customWidth="1"/>
    <col min="15" max="20" width="3.7109375" style="65" customWidth="1"/>
    <col min="21" max="26" width="9.85546875" style="65" hidden="1" customWidth="1"/>
    <col min="27" max="27" width="0" style="65" hidden="1" customWidth="1"/>
    <col min="28" max="28" width="4.5703125" style="65" hidden="1" customWidth="1"/>
    <col min="29" max="44" width="0" style="65" hidden="1" customWidth="1"/>
    <col min="45" max="16384" width="11.42578125" style="65"/>
  </cols>
  <sheetData>
    <row r="1" spans="1:65" ht="18" x14ac:dyDescent="0.2">
      <c r="A1" s="129"/>
      <c r="B1" s="129"/>
      <c r="C1" s="130"/>
      <c r="D1" s="256" t="str">
        <f ca="1">IF(TABFRANC!AM4-TABFRANC!D4&gt;=60,BM10,BM11)</f>
        <v>Les valeurs ont été mises à jour il y a moins de 60 jours.
Vous pouvez continuer à utiliser ce classeur.</v>
      </c>
      <c r="E1" s="257"/>
      <c r="F1" s="257"/>
      <c r="G1" s="257"/>
      <c r="H1" s="257"/>
      <c r="I1" s="257"/>
      <c r="J1" s="257"/>
      <c r="K1" s="257"/>
      <c r="L1" s="258"/>
      <c r="M1" s="139"/>
      <c r="N1" s="128"/>
      <c r="O1" s="128"/>
      <c r="P1" s="128"/>
      <c r="Q1" s="128"/>
      <c r="R1" s="128"/>
      <c r="S1" s="128"/>
      <c r="T1" s="128"/>
      <c r="AS1" s="128"/>
    </row>
    <row r="2" spans="1:65" ht="15" x14ac:dyDescent="0.2">
      <c r="A2" s="129"/>
      <c r="B2" s="129"/>
      <c r="C2" s="130"/>
      <c r="D2" s="259"/>
      <c r="E2" s="260"/>
      <c r="F2" s="260"/>
      <c r="G2" s="260"/>
      <c r="H2" s="260"/>
      <c r="I2" s="260"/>
      <c r="J2" s="260"/>
      <c r="K2" s="260"/>
      <c r="L2" s="261"/>
      <c r="M2" s="267" t="s">
        <v>175</v>
      </c>
      <c r="N2" s="268"/>
      <c r="O2" s="268"/>
      <c r="P2" s="268"/>
      <c r="Q2" s="265">
        <f ca="1">TODAY()</f>
        <v>44886</v>
      </c>
      <c r="R2" s="265"/>
      <c r="S2" s="265"/>
      <c r="T2" s="265"/>
      <c r="AS2" s="128"/>
    </row>
    <row r="3" spans="1:65" ht="15" x14ac:dyDescent="0.2">
      <c r="A3" s="129"/>
      <c r="B3" s="129"/>
      <c r="C3" s="130"/>
      <c r="D3" s="259"/>
      <c r="E3" s="260"/>
      <c r="F3" s="260"/>
      <c r="G3" s="260"/>
      <c r="H3" s="260"/>
      <c r="I3" s="260"/>
      <c r="J3" s="260"/>
      <c r="K3" s="260"/>
      <c r="L3" s="261"/>
      <c r="M3" s="267" t="s">
        <v>176</v>
      </c>
      <c r="N3" s="268"/>
      <c r="O3" s="268"/>
      <c r="P3" s="268"/>
      <c r="Q3" s="265">
        <f>TABFRANC!D4</f>
        <v>44886</v>
      </c>
      <c r="R3" s="266"/>
      <c r="S3" s="266"/>
      <c r="T3" s="266"/>
      <c r="AS3" s="128"/>
    </row>
    <row r="4" spans="1:65" ht="18.75" thickBot="1" x14ac:dyDescent="0.25">
      <c r="A4" s="129"/>
      <c r="B4" s="129"/>
      <c r="C4" s="130"/>
      <c r="D4" s="262"/>
      <c r="E4" s="263"/>
      <c r="F4" s="263"/>
      <c r="G4" s="263"/>
      <c r="H4" s="263"/>
      <c r="I4" s="263"/>
      <c r="J4" s="263"/>
      <c r="K4" s="263"/>
      <c r="L4" s="264"/>
      <c r="M4" s="139"/>
      <c r="N4" s="128"/>
      <c r="O4" s="128"/>
      <c r="P4" s="128"/>
      <c r="Q4" s="128"/>
      <c r="R4" s="128"/>
      <c r="S4" s="128"/>
      <c r="T4" s="128"/>
      <c r="AS4" s="128"/>
    </row>
    <row r="5" spans="1:65" ht="35.25" customHeight="1" thickBot="1" x14ac:dyDescent="0.45">
      <c r="A5" s="129"/>
      <c r="B5" s="129"/>
      <c r="C5" s="130"/>
      <c r="D5" s="237" t="s">
        <v>173</v>
      </c>
      <c r="E5" s="237"/>
      <c r="F5" s="237"/>
      <c r="G5" s="237"/>
      <c r="H5" s="237"/>
      <c r="I5" s="237"/>
      <c r="J5" s="237"/>
      <c r="K5" s="237"/>
      <c r="L5" s="237"/>
      <c r="M5" s="140"/>
      <c r="O5" s="128"/>
      <c r="P5" s="128"/>
      <c r="Q5" s="128"/>
      <c r="R5" s="128"/>
      <c r="S5" s="128"/>
      <c r="T5" s="128"/>
      <c r="AS5" s="128"/>
    </row>
    <row r="6" spans="1:65" ht="18" customHeight="1" x14ac:dyDescent="0.2">
      <c r="A6" s="228" t="s">
        <v>19</v>
      </c>
      <c r="B6" s="242" t="s">
        <v>16</v>
      </c>
      <c r="C6" s="254" t="s">
        <v>18</v>
      </c>
      <c r="D6" s="234" t="s">
        <v>158</v>
      </c>
      <c r="E6" s="243" t="s">
        <v>9</v>
      </c>
      <c r="F6" s="247" t="s">
        <v>7</v>
      </c>
      <c r="G6" s="247"/>
      <c r="H6" s="247"/>
      <c r="I6" s="248"/>
      <c r="J6" s="245" t="s">
        <v>109</v>
      </c>
      <c r="K6" s="251" t="s">
        <v>179</v>
      </c>
      <c r="L6" s="253" t="s">
        <v>159</v>
      </c>
      <c r="M6" s="249" t="s">
        <v>160</v>
      </c>
      <c r="N6" s="238" t="s">
        <v>37</v>
      </c>
      <c r="O6" s="239" t="s">
        <v>37</v>
      </c>
      <c r="P6" s="240"/>
      <c r="Q6" s="240"/>
      <c r="R6" s="240"/>
      <c r="S6" s="240"/>
      <c r="T6" s="241"/>
      <c r="AS6" s="128"/>
    </row>
    <row r="7" spans="1:65" ht="25.5" customHeight="1" thickBot="1" x14ac:dyDescent="0.25">
      <c r="A7" s="229"/>
      <c r="B7" s="235"/>
      <c r="C7" s="255"/>
      <c r="D7" s="235"/>
      <c r="E7" s="244"/>
      <c r="F7" s="136" t="s">
        <v>0</v>
      </c>
      <c r="G7" s="136" t="s">
        <v>1</v>
      </c>
      <c r="H7" s="136" t="s">
        <v>2</v>
      </c>
      <c r="I7" s="137" t="s">
        <v>3</v>
      </c>
      <c r="J7" s="246"/>
      <c r="K7" s="252"/>
      <c r="L7" s="252"/>
      <c r="M7" s="250"/>
      <c r="N7" s="238"/>
      <c r="O7" s="66">
        <v>1</v>
      </c>
      <c r="P7" s="67">
        <v>2</v>
      </c>
      <c r="Q7" s="67">
        <v>3</v>
      </c>
      <c r="R7" s="67">
        <v>4</v>
      </c>
      <c r="S7" s="67">
        <v>5</v>
      </c>
      <c r="T7" s="68">
        <v>6</v>
      </c>
      <c r="U7" s="65">
        <v>1</v>
      </c>
      <c r="V7" s="65">
        <v>2</v>
      </c>
      <c r="W7" s="65">
        <v>3</v>
      </c>
      <c r="X7" s="69">
        <v>4</v>
      </c>
      <c r="Y7" s="69">
        <v>5</v>
      </c>
      <c r="Z7" s="69">
        <v>6</v>
      </c>
      <c r="AS7" s="128"/>
    </row>
    <row r="8" spans="1:65" ht="18" customHeight="1" thickBot="1" x14ac:dyDescent="0.25">
      <c r="A8" s="236"/>
      <c r="B8" s="131" t="s">
        <v>34</v>
      </c>
      <c r="C8" s="231" t="str">
        <f>IF(ISNA(VLOOKUP(A8,TABFRANC!$A$16:$C$133,3,0)),"",VLOOKUP(A8,TABFRANC!$A$16:$C$133,3,0))</f>
        <v/>
      </c>
      <c r="D8" s="132"/>
      <c r="E8" s="133"/>
      <c r="F8" s="134" t="str">
        <f>IF(OR(ISBLANK($E8),F10=""),"",+F10*$E8/$E10)</f>
        <v/>
      </c>
      <c r="G8" s="134" t="str">
        <f>IF(OR(ISBLANK($E8),G10=""),"",+G10*$E8/$E10)</f>
        <v/>
      </c>
      <c r="H8" s="134" t="str">
        <f>IF(OR(ISBLANK($E8),H10=""),"",+H10*$E8/$E10)</f>
        <v/>
      </c>
      <c r="I8" s="135" t="str">
        <f>IF(OR(ISBLANK($E8),I10=""),"",+I10*$E8/$E10)</f>
        <v/>
      </c>
      <c r="J8" s="72" t="str">
        <f>IF($F8="","",
((G8*2.2167*TABFRANC!$D$1+(COMPARE!F8-COMPARE!G8*2.2167)*TABFRANC!$D$2)/1000+H8*TABFRANC!$D$3/2.875)
*
IF(ISBLANK(D8),(100-COMPARE!D9),(100-COMPARE!D8))/100)</f>
        <v/>
      </c>
      <c r="K8" s="73" t="str">
        <f>IF(OR(ISBLANK(K9),F8=""),"",+K9*E8/IF(ISBLANK(E8),E9,E8))</f>
        <v/>
      </c>
      <c r="L8" s="74" t="str">
        <f t="shared" ref="L8:L23" si="0">IF(OR(F8="",K8=""),"",J8-K8)</f>
        <v/>
      </c>
      <c r="M8" s="75" t="str">
        <f>IF(F8="","",+M9)</f>
        <v/>
      </c>
      <c r="O8" s="76"/>
      <c r="P8" s="76"/>
      <c r="Q8" s="76"/>
      <c r="R8" s="76"/>
      <c r="S8" s="76"/>
      <c r="T8" s="76"/>
      <c r="U8" s="77" t="e">
        <f t="shared" ref="U8:Z8" si="1">+U11</f>
        <v>#VALUE!</v>
      </c>
      <c r="V8" s="77" t="e">
        <f t="shared" si="1"/>
        <v>#VALUE!</v>
      </c>
      <c r="W8" s="77" t="e">
        <f t="shared" si="1"/>
        <v>#VALUE!</v>
      </c>
      <c r="X8" s="77" t="e">
        <f t="shared" si="1"/>
        <v>#VALUE!</v>
      </c>
      <c r="Y8" s="77" t="e">
        <f t="shared" si="1"/>
        <v>#VALUE!</v>
      </c>
      <c r="Z8" s="77" t="e">
        <f t="shared" si="1"/>
        <v>#VALUE!</v>
      </c>
      <c r="AB8" s="121">
        <v>0.6</v>
      </c>
      <c r="AS8" s="128"/>
    </row>
    <row r="9" spans="1:65" ht="18" customHeight="1" thickTop="1" thickBot="1" x14ac:dyDescent="0.25">
      <c r="A9" s="233"/>
      <c r="B9" s="78" t="s">
        <v>34</v>
      </c>
      <c r="C9" s="231"/>
      <c r="D9" s="79" t="str">
        <f>IF(ISNA(VLOOKUP(A8,TABFRANC!$16:$133,4,0)),"",VLOOKUP(A8,TABFRANC!$16:$133,4,0))</f>
        <v/>
      </c>
      <c r="E9" s="80" t="str">
        <f>IF(ISNA(VLOOKUP($A8,TABFRANC!$16:$133,5,0)),"",VLOOKUP($A8,TABFRANC!$16:$133,5,0))</f>
        <v/>
      </c>
      <c r="F9" s="81" t="str">
        <f>IF(F10="","",+F10*$E9/1000)</f>
        <v/>
      </c>
      <c r="G9" s="81" t="str">
        <f>IF(G10="","",+G10*$E9/1000)</f>
        <v/>
      </c>
      <c r="H9" s="81" t="str">
        <f>IF(H10="","",+H10*$E9/1000)</f>
        <v/>
      </c>
      <c r="I9" s="82" t="str">
        <f>IF(I10="","",+I10*$E9/1000)</f>
        <v/>
      </c>
      <c r="J9" s="83" t="str">
        <f>IF($F9="","",
((G9*2.2167*TABFRANC!$D$1+(COMPARE!F9-(COMPARE!G9*2.2167))*TABFRANC!$D$2)/1000+(H9*TABFRANC!$D$3/2.875))
*
IF(ISBLANK(D8),(100-COMPARE!D9),(100-COMPARE!D8))/100)</f>
        <v/>
      </c>
      <c r="K9" s="5"/>
      <c r="L9" s="84" t="str">
        <f t="shared" si="0"/>
        <v/>
      </c>
      <c r="M9" s="85" t="str">
        <f>IF(E9="","",+E9/E9)</f>
        <v/>
      </c>
      <c r="O9" s="86"/>
      <c r="P9" s="86"/>
      <c r="Q9" s="86"/>
      <c r="R9" s="86"/>
      <c r="S9" s="86"/>
      <c r="T9" s="86"/>
      <c r="U9" s="77" t="e">
        <f t="shared" ref="U9:Z9" si="2">+U11</f>
        <v>#VALUE!</v>
      </c>
      <c r="V9" s="77" t="e">
        <f t="shared" si="2"/>
        <v>#VALUE!</v>
      </c>
      <c r="W9" s="77" t="e">
        <f t="shared" si="2"/>
        <v>#VALUE!</v>
      </c>
      <c r="X9" s="77" t="e">
        <f t="shared" si="2"/>
        <v>#VALUE!</v>
      </c>
      <c r="Y9" s="77" t="e">
        <f t="shared" si="2"/>
        <v>#VALUE!</v>
      </c>
      <c r="Z9" s="77" t="e">
        <f t="shared" si="2"/>
        <v>#VALUE!</v>
      </c>
      <c r="AB9" s="87"/>
      <c r="AS9" s="128"/>
      <c r="BM9" s="23">
        <f ca="1">TODAY()</f>
        <v>44886</v>
      </c>
    </row>
    <row r="10" spans="1:65" ht="18" customHeight="1" thickBot="1" x14ac:dyDescent="0.25">
      <c r="A10" s="233"/>
      <c r="B10" s="88" t="s">
        <v>35</v>
      </c>
      <c r="C10" s="231"/>
      <c r="D10" s="79"/>
      <c r="E10" s="64" t="str">
        <f>IF(F10="","",1000)</f>
        <v/>
      </c>
      <c r="F10" s="81" t="str">
        <f>IF(ISNA(VLOOKUP($A8,TABFRANC!$16:$133,15,0)),"",VLOOKUP($A8,TABFRANC!$16:$133,15,0))</f>
        <v/>
      </c>
      <c r="G10" s="81" t="str">
        <f>IF(ISNA(VLOOKUP($A8,TABFRANC!$16:$133,15,0)),"",VLOOKUP($A8,TABFRANC!$16:$133,16,0))</f>
        <v/>
      </c>
      <c r="H10" s="81" t="str">
        <f>IF(ISNA(VLOOKUP($A8,TABFRANC!$16:$133,15,0)),"",VLOOKUP($A8,TABFRANC!$16:$133,17,0))</f>
        <v/>
      </c>
      <c r="I10" s="82" t="str">
        <f>IF(ISNA(VLOOKUP($A8,TABFRANC!$16:$133,15,0)),"",VLOOKUP($A8,TABFRANC!$16:$133,18,0))</f>
        <v/>
      </c>
      <c r="J10" s="89" t="str">
        <f>IF($F10="","",
((G10*2.2167*TABFRANC!$D$1+(COMPARE!F10-COMPARE!G10*2.2167)*TABFRANC!$D$2)/1000+H10*TABFRANC!$D$3/2.875)
*
IF(ISBLANK(D8),(100-COMPARE!D9),(100-COMPARE!D8))/100)</f>
        <v/>
      </c>
      <c r="K10" s="90" t="str">
        <f>IF(OR(ISBLANK(K9),F10=""),"",+K9*E10/IF(ISBLANK(E8),E9,E8))</f>
        <v/>
      </c>
      <c r="L10" s="74" t="str">
        <f t="shared" si="0"/>
        <v/>
      </c>
      <c r="M10" s="85" t="str">
        <f>IF(E10="","",IF(ISBLANK(E8),+E10/E9,E10/E8))</f>
        <v/>
      </c>
      <c r="O10" s="86"/>
      <c r="P10" s="86"/>
      <c r="Q10" s="86"/>
      <c r="R10" s="86"/>
      <c r="S10" s="86"/>
      <c r="T10" s="86"/>
      <c r="U10" s="77" t="e">
        <f t="shared" ref="U10:Z10" si="3">+U11</f>
        <v>#VALUE!</v>
      </c>
      <c r="V10" s="77" t="e">
        <f t="shared" si="3"/>
        <v>#VALUE!</v>
      </c>
      <c r="W10" s="77" t="e">
        <f t="shared" si="3"/>
        <v>#VALUE!</v>
      </c>
      <c r="X10" s="77" t="e">
        <f t="shared" si="3"/>
        <v>#VALUE!</v>
      </c>
      <c r="Y10" s="77" t="e">
        <f t="shared" si="3"/>
        <v>#VALUE!</v>
      </c>
      <c r="Z10" s="77" t="e">
        <f t="shared" si="3"/>
        <v>#VALUE!</v>
      </c>
      <c r="AS10" s="128"/>
      <c r="BM10" s="29" t="s">
        <v>171</v>
      </c>
    </row>
    <row r="11" spans="1:65" ht="18" customHeight="1" thickBot="1" x14ac:dyDescent="0.25">
      <c r="A11" s="233"/>
      <c r="B11" s="91" t="s">
        <v>17</v>
      </c>
      <c r="C11" s="232"/>
      <c r="D11" s="92"/>
      <c r="E11" s="93" t="str">
        <f>IF(F10="","",+E10*1000/F10)</f>
        <v/>
      </c>
      <c r="F11" s="94" t="str">
        <f>IF(F10="","",1000)</f>
        <v/>
      </c>
      <c r="G11" s="93" t="str">
        <f>IF($F10="","",+G10*1000/$F10)</f>
        <v/>
      </c>
      <c r="H11" s="93" t="str">
        <f>IF($F10="","",+H10*1000/$F10)</f>
        <v/>
      </c>
      <c r="I11" s="95" t="str">
        <f>IF($F10="","",+I10*1000/$F10)</f>
        <v/>
      </c>
      <c r="J11" s="96" t="str">
        <f>IF($F11="","",
((G11*2.2167*TABFRANC!$D$1+(COMPARE!F11-COMPARE!G11*2.2167)*TABFRANC!$D$2)/1000+H11*TABFRANC!$D$3/2.875)
*
IF(ISBLANK(D8),(100-COMPARE!D9),(100-COMPARE!D8))/100)</f>
        <v/>
      </c>
      <c r="K11" s="97" t="str">
        <f>IF(OR(ISBLANK(K9),F11=""),"",+K9*E11/IF(ISBLANK(E8),E9,E8))</f>
        <v/>
      </c>
      <c r="L11" s="98" t="str">
        <f t="shared" si="0"/>
        <v/>
      </c>
      <c r="M11" s="99" t="str">
        <f>IF(E11="","",IF(ISBLANK(E8),+E11/E9,E11/E8))</f>
        <v/>
      </c>
      <c r="N11" s="77" t="e">
        <f>640*H11/(F11*52)</f>
        <v>#VALUE!</v>
      </c>
      <c r="O11" s="100"/>
      <c r="P11" s="100"/>
      <c r="Q11" s="100"/>
      <c r="R11" s="100"/>
      <c r="S11" s="100"/>
      <c r="T11" s="100"/>
      <c r="U11" s="77" t="e">
        <f>ABS(+N11-N$11)</f>
        <v>#VALUE!</v>
      </c>
      <c r="V11" s="77" t="e">
        <f>ABS(+N11-N$15)</f>
        <v>#VALUE!</v>
      </c>
      <c r="W11" s="77" t="e">
        <f>ABS(+N11-N$19)</f>
        <v>#VALUE!</v>
      </c>
      <c r="X11" s="77" t="e">
        <f>ABS(+N11-N$23)</f>
        <v>#VALUE!</v>
      </c>
      <c r="Y11" s="77" t="e">
        <f>ABS(+N11-N$26)</f>
        <v>#VALUE!</v>
      </c>
      <c r="Z11" s="77" t="e">
        <f>ABS(+N11-N$29)</f>
        <v>#VALUE!</v>
      </c>
      <c r="AS11" s="128"/>
      <c r="BM11" s="35" t="s">
        <v>172</v>
      </c>
    </row>
    <row r="12" spans="1:65" ht="18" customHeight="1" thickTop="1" thickBot="1" x14ac:dyDescent="0.25">
      <c r="A12" s="233"/>
      <c r="B12" s="70" t="s">
        <v>34</v>
      </c>
      <c r="C12" s="230" t="str">
        <f>IF(ISNA(VLOOKUP(A12,TABFRANC!$A$16:$C$133,3,0)),"",VLOOKUP(A12,TABFRANC!$A$16:$C$133,3,0))</f>
        <v/>
      </c>
      <c r="D12" s="4"/>
      <c r="E12" s="1"/>
      <c r="F12" s="71" t="str">
        <f>IF(OR(ISBLANK($E12),F14=""),"",+F14*$E12/$E14)</f>
        <v/>
      </c>
      <c r="G12" s="71" t="str">
        <f>IF(OR(ISBLANK($E12),G14=""),"",+G14*$E12/$E14)</f>
        <v/>
      </c>
      <c r="H12" s="71" t="str">
        <f>IF(OR(ISBLANK($E12),H14=""),"",+H14*$E12/$E14)</f>
        <v/>
      </c>
      <c r="I12" s="71" t="str">
        <f>IF(OR(ISBLANK($E12),I14=""),"",+I14*$E12/$E14)</f>
        <v/>
      </c>
      <c r="J12" s="72" t="str">
        <f>IF($F12="","",
((G12*2.2167*TABFRANC!$D$1+(COMPARE!F12-COMPARE!G12*2.2167)*TABFRANC!$D$2)/1000+H12*TABFRANC!$D$3/2.875)
*
IF(ISBLANK(D12),(100-COMPARE!D13),(100-COMPARE!D12))/100)</f>
        <v/>
      </c>
      <c r="K12" s="73"/>
      <c r="L12" s="74" t="str">
        <f t="shared" si="0"/>
        <v/>
      </c>
      <c r="M12" s="75" t="str">
        <f>IF(F12="","",+M13)</f>
        <v/>
      </c>
      <c r="O12" s="76"/>
      <c r="P12" s="76"/>
      <c r="Q12" s="76"/>
      <c r="R12" s="76"/>
      <c r="S12" s="76"/>
      <c r="T12" s="76"/>
      <c r="U12" s="77" t="e">
        <f t="shared" ref="U12:Z12" si="4">+U15</f>
        <v>#VALUE!</v>
      </c>
      <c r="V12" s="77" t="e">
        <f t="shared" si="4"/>
        <v>#VALUE!</v>
      </c>
      <c r="W12" s="77" t="e">
        <f t="shared" si="4"/>
        <v>#VALUE!</v>
      </c>
      <c r="X12" s="77" t="e">
        <f t="shared" si="4"/>
        <v>#VALUE!</v>
      </c>
      <c r="Y12" s="77" t="e">
        <f t="shared" si="4"/>
        <v>#VALUE!</v>
      </c>
      <c r="Z12" s="77" t="e">
        <f t="shared" si="4"/>
        <v>#VALUE!</v>
      </c>
      <c r="AS12" s="128"/>
    </row>
    <row r="13" spans="1:65" ht="18" customHeight="1" thickTop="1" thickBot="1" x14ac:dyDescent="0.25">
      <c r="A13" s="233"/>
      <c r="B13" s="78" t="s">
        <v>34</v>
      </c>
      <c r="C13" s="231"/>
      <c r="D13" s="79" t="str">
        <f>IF(ISNA(VLOOKUP(A12,TABFRANC!$16:$133,4,0)),"",VLOOKUP(A12,TABFRANC!$16:$133,4,0))</f>
        <v/>
      </c>
      <c r="E13" s="101" t="str">
        <f>IF(ISNA(VLOOKUP($A12,TABFRANC!$16:$133,5,0)),"",VLOOKUP($A12,TABFRANC!$16:$133,5,0))</f>
        <v/>
      </c>
      <c r="F13" s="102" t="str">
        <f>IF(F14="","",+F14*$E13/1000)</f>
        <v/>
      </c>
      <c r="G13" s="102" t="str">
        <f>IF(G14="","",+G14*$E13/1000)</f>
        <v/>
      </c>
      <c r="H13" s="102" t="str">
        <f>IF(H14="","",+H14*$E13/1000)</f>
        <v/>
      </c>
      <c r="I13" s="102" t="str">
        <f>IF(I14="","",+I14*$E13/1000)</f>
        <v/>
      </c>
      <c r="J13" s="103" t="str">
        <f>IF($F13="","",
((G13*2.2167*TABFRANC!$D$1+(COMPARE!F13-(COMPARE!G13*2.2167))*TABFRANC!$D$2)/1000+(H13*TABFRANC!$D$3/2.875))
*
IF(ISBLANK(D12),(100-COMPARE!D13),(100-COMPARE!D12))/100)</f>
        <v/>
      </c>
      <c r="K13" s="6"/>
      <c r="L13" s="104" t="str">
        <f t="shared" si="0"/>
        <v/>
      </c>
      <c r="M13" s="85" t="str">
        <f>IF(E13="","",+E13/E13)</f>
        <v/>
      </c>
      <c r="O13" s="86"/>
      <c r="P13" s="86"/>
      <c r="Q13" s="86"/>
      <c r="R13" s="86"/>
      <c r="S13" s="86"/>
      <c r="T13" s="86"/>
      <c r="U13" s="77" t="e">
        <f t="shared" ref="U13:Z13" si="5">+U15</f>
        <v>#VALUE!</v>
      </c>
      <c r="V13" s="77" t="e">
        <f t="shared" si="5"/>
        <v>#VALUE!</v>
      </c>
      <c r="W13" s="77" t="e">
        <f t="shared" si="5"/>
        <v>#VALUE!</v>
      </c>
      <c r="X13" s="77" t="e">
        <f t="shared" si="5"/>
        <v>#VALUE!</v>
      </c>
      <c r="Y13" s="77" t="e">
        <f t="shared" si="5"/>
        <v>#VALUE!</v>
      </c>
      <c r="Z13" s="77" t="e">
        <f t="shared" si="5"/>
        <v>#VALUE!</v>
      </c>
      <c r="AS13" s="128"/>
    </row>
    <row r="14" spans="1:65" ht="18" customHeight="1" thickBot="1" x14ac:dyDescent="0.25">
      <c r="A14" s="233"/>
      <c r="B14" s="88" t="s">
        <v>35</v>
      </c>
      <c r="C14" s="231"/>
      <c r="D14" s="79"/>
      <c r="E14" s="64" t="str">
        <f>IF(F14="","",1000)</f>
        <v/>
      </c>
      <c r="F14" s="81" t="str">
        <f>IF(ISNA(VLOOKUP($A12,TABFRANC!$16:$133,15,0)),"",VLOOKUP($A12,TABFRANC!$16:$133,15,0))</f>
        <v/>
      </c>
      <c r="G14" s="81" t="str">
        <f>IF(ISNA(VLOOKUP($A12,TABFRANC!$16:$133,15,0)),"",VLOOKUP($A12,TABFRANC!$16:$133,16,0))</f>
        <v/>
      </c>
      <c r="H14" s="81" t="str">
        <f>IF(ISNA(VLOOKUP($A12,TABFRANC!$16:$133,15,0)),"",VLOOKUP($A12,TABFRANC!$16:$133,17,0))</f>
        <v/>
      </c>
      <c r="I14" s="81" t="str">
        <f>IF(ISNA(VLOOKUP($A12,TABFRANC!$16:$133,15,0)),"",VLOOKUP($A12,TABFRANC!$16:$133,18,0))</f>
        <v/>
      </c>
      <c r="J14" s="89" t="str">
        <f>IF($F14="","",
((G14*2.2167*TABFRANC!$D$1+(COMPARE!F14-COMPARE!G14*2.2167)*TABFRANC!$D$2)/1000+H14*TABFRANC!$D$3/2.875)
*
IF(ISBLANK(D12),(100-COMPARE!D13),(100-COMPARE!D12))/100)</f>
        <v/>
      </c>
      <c r="K14" s="90" t="str">
        <f>IF(OR(ISBLANK(K13),F14=""),"",+K13*E14/IF(ISBLANK(E12),E13,E12))</f>
        <v/>
      </c>
      <c r="L14" s="74" t="str">
        <f t="shared" si="0"/>
        <v/>
      </c>
      <c r="M14" s="85" t="str">
        <f>IF(E14="","",IF(ISBLANK(E12),+E14/E13,E14/E12))</f>
        <v/>
      </c>
      <c r="O14" s="86"/>
      <c r="P14" s="86"/>
      <c r="Q14" s="86"/>
      <c r="R14" s="86"/>
      <c r="S14" s="86"/>
      <c r="T14" s="86"/>
      <c r="U14" s="77" t="e">
        <f t="shared" ref="U14:Z14" si="6">+U15</f>
        <v>#VALUE!</v>
      </c>
      <c r="V14" s="77" t="e">
        <f t="shared" si="6"/>
        <v>#VALUE!</v>
      </c>
      <c r="W14" s="77" t="e">
        <f t="shared" si="6"/>
        <v>#VALUE!</v>
      </c>
      <c r="X14" s="77" t="e">
        <f t="shared" si="6"/>
        <v>#VALUE!</v>
      </c>
      <c r="Y14" s="77" t="e">
        <f t="shared" si="6"/>
        <v>#VALUE!</v>
      </c>
      <c r="Z14" s="77" t="e">
        <f t="shared" si="6"/>
        <v>#VALUE!</v>
      </c>
      <c r="AS14" s="128"/>
    </row>
    <row r="15" spans="1:65" ht="18" customHeight="1" thickBot="1" x14ac:dyDescent="0.25">
      <c r="A15" s="233"/>
      <c r="B15" s="91" t="s">
        <v>17</v>
      </c>
      <c r="C15" s="232"/>
      <c r="D15" s="92"/>
      <c r="E15" s="93" t="str">
        <f>IF(F14="","",+E14*1000/F14)</f>
        <v/>
      </c>
      <c r="F15" s="94" t="str">
        <f>IF(F14="","",1000)</f>
        <v/>
      </c>
      <c r="G15" s="93" t="str">
        <f>IF($F14="","",+G14*1000/$F14)</f>
        <v/>
      </c>
      <c r="H15" s="93" t="str">
        <f>IF($F14="","",+H14*1000/$F14)</f>
        <v/>
      </c>
      <c r="I15" s="93" t="str">
        <f>IF($F14="","",+I14*1000/$F14)</f>
        <v/>
      </c>
      <c r="J15" s="96" t="str">
        <f>IF($F15="","",
((G15*2.2167*TABFRANC!$D$1+(COMPARE!F15-COMPARE!G15*2.2167)*TABFRANC!$D$2)/1000+H15*TABFRANC!$D$3/2.875)
*
IF(ISBLANK(D12),(100-COMPARE!D13),(100-COMPARE!D12))/100)</f>
        <v/>
      </c>
      <c r="K15" s="97" t="str">
        <f>IF(OR(ISBLANK(K13),F15=""),"",+K13*E15/IF(ISBLANK(E12),E13,E12))</f>
        <v/>
      </c>
      <c r="L15" s="98" t="str">
        <f t="shared" si="0"/>
        <v/>
      </c>
      <c r="M15" s="99" t="str">
        <f>IF(E15="","",IF(ISBLANK(E12),+E15/E13,E15/E12))</f>
        <v/>
      </c>
      <c r="N15" s="77" t="e">
        <f>640*H15/(F15*52)</f>
        <v>#VALUE!</v>
      </c>
      <c r="O15" s="100"/>
      <c r="P15" s="100"/>
      <c r="Q15" s="100"/>
      <c r="R15" s="100"/>
      <c r="S15" s="100"/>
      <c r="T15" s="100"/>
      <c r="U15" s="77" t="e">
        <f>ABS(+N15-N$11)</f>
        <v>#VALUE!</v>
      </c>
      <c r="V15" s="77" t="e">
        <f>ABS(+N15-N$15)</f>
        <v>#VALUE!</v>
      </c>
      <c r="W15" s="77" t="e">
        <f>ABS(+N15-N$19)</f>
        <v>#VALUE!</v>
      </c>
      <c r="X15" s="77" t="e">
        <f>ABS(+N15-N$23)</f>
        <v>#VALUE!</v>
      </c>
      <c r="Y15" s="77" t="e">
        <f>ABS(+N15-N$26)</f>
        <v>#VALUE!</v>
      </c>
      <c r="Z15" s="77" t="e">
        <f>ABS(+N15-N$29)</f>
        <v>#VALUE!</v>
      </c>
      <c r="AS15" s="128"/>
    </row>
    <row r="16" spans="1:65" ht="18" customHeight="1" thickTop="1" thickBot="1" x14ac:dyDescent="0.25">
      <c r="A16" s="233"/>
      <c r="B16" s="70" t="s">
        <v>34</v>
      </c>
      <c r="C16" s="230" t="str">
        <f>IF(ISNA(VLOOKUP(A16,TABFRANC!$A$16:$C$133,3,0)),"",VLOOKUP(A16,TABFRANC!$A$16:$C$133,3,0))</f>
        <v/>
      </c>
      <c r="D16" s="4"/>
      <c r="E16" s="1"/>
      <c r="F16" s="71" t="str">
        <f>IF(OR(ISBLANK($E16),F18=""),"",+F18*$E16/$E18)</f>
        <v/>
      </c>
      <c r="G16" s="71" t="str">
        <f>IF(OR(ISBLANK($E16),G18=""),"",+G18*$E16/$E18)</f>
        <v/>
      </c>
      <c r="H16" s="71" t="str">
        <f>IF(OR(ISBLANK($E16),H18=""),"",+H18*$E16/$E18)</f>
        <v/>
      </c>
      <c r="I16" s="71" t="str">
        <f>IF(OR(ISBLANK($E16),I18=""),"",+I18*$E16/$E18)</f>
        <v/>
      </c>
      <c r="J16" s="72" t="str">
        <f>IF($F16="","",
((G16*2.2167*TABFRANC!$D$1+(COMPARE!F16-COMPARE!G16*2.2167)*TABFRANC!$D$2)/1000+H16*TABFRANC!$D$3/2.875)
*
IF(ISBLANK(D16),(100-COMPARE!D17),(100-COMPARE!D16))/100)</f>
        <v/>
      </c>
      <c r="K16" s="73" t="str">
        <f>IF(OR(ISBLANK(K17),F16=""),"",+K17*E16/IF(ISBLANK(E16),E17,E16))</f>
        <v/>
      </c>
      <c r="L16" s="74" t="str">
        <f t="shared" si="0"/>
        <v/>
      </c>
      <c r="M16" s="75" t="str">
        <f>IF(F16="","",+M17)</f>
        <v/>
      </c>
      <c r="O16" s="76"/>
      <c r="P16" s="76"/>
      <c r="Q16" s="76"/>
      <c r="R16" s="76"/>
      <c r="S16" s="76"/>
      <c r="T16" s="76"/>
      <c r="U16" s="77" t="e">
        <f t="shared" ref="U16:Z16" si="7">+U19</f>
        <v>#VALUE!</v>
      </c>
      <c r="V16" s="77" t="e">
        <f t="shared" si="7"/>
        <v>#VALUE!</v>
      </c>
      <c r="W16" s="77" t="e">
        <f t="shared" si="7"/>
        <v>#VALUE!</v>
      </c>
      <c r="X16" s="77" t="e">
        <f t="shared" si="7"/>
        <v>#VALUE!</v>
      </c>
      <c r="Y16" s="77" t="e">
        <f t="shared" si="7"/>
        <v>#VALUE!</v>
      </c>
      <c r="Z16" s="77" t="e">
        <f t="shared" si="7"/>
        <v>#VALUE!</v>
      </c>
      <c r="AS16" s="128"/>
    </row>
    <row r="17" spans="1:45" ht="18" customHeight="1" thickTop="1" thickBot="1" x14ac:dyDescent="0.25">
      <c r="A17" s="233"/>
      <c r="B17" s="78" t="s">
        <v>34</v>
      </c>
      <c r="C17" s="231"/>
      <c r="D17" s="79" t="str">
        <f>IF(ISNA(VLOOKUP(A16,TABFRANC!$16:$133,4,0)),"",VLOOKUP(A16,TABFRANC!$16:$133,4,0))</f>
        <v/>
      </c>
      <c r="E17" s="101" t="str">
        <f>IF(ISNA(VLOOKUP($A16,TABFRANC!$16:$133,5,0)),"",VLOOKUP($A16,TABFRANC!$16:$133,5,0))</f>
        <v/>
      </c>
      <c r="F17" s="102" t="str">
        <f>IF(F18="","",+F18*$E17/1000)</f>
        <v/>
      </c>
      <c r="G17" s="102" t="str">
        <f>IF(G18="","",+G18*$E17/1000)</f>
        <v/>
      </c>
      <c r="H17" s="102" t="str">
        <f>IF(H18="","",+H18*$E17/1000)</f>
        <v/>
      </c>
      <c r="I17" s="102" t="str">
        <f>IF(I18="","",+I18*$E17/1000)</f>
        <v/>
      </c>
      <c r="J17" s="83" t="str">
        <f>IF($F17="","",
((G17*2.2167*TABFRANC!$D$1+(COMPARE!F17-(COMPARE!G17*2.2167))*TABFRANC!$D$2)/1000+(H17*TABFRANC!$D$3/2.875))
*
IF(ISBLANK(D16),(100-COMPARE!D17),(100-COMPARE!D16))/100)</f>
        <v/>
      </c>
      <c r="K17" s="5"/>
      <c r="L17" s="84" t="str">
        <f t="shared" si="0"/>
        <v/>
      </c>
      <c r="M17" s="85" t="str">
        <f>IF(E17="","",+E17/E17)</f>
        <v/>
      </c>
      <c r="O17" s="86"/>
      <c r="P17" s="86"/>
      <c r="Q17" s="86"/>
      <c r="R17" s="86"/>
      <c r="S17" s="86"/>
      <c r="T17" s="86"/>
      <c r="U17" s="77" t="e">
        <f t="shared" ref="U17:Z17" si="8">+U19</f>
        <v>#VALUE!</v>
      </c>
      <c r="V17" s="77" t="e">
        <f t="shared" si="8"/>
        <v>#VALUE!</v>
      </c>
      <c r="W17" s="77" t="e">
        <f t="shared" si="8"/>
        <v>#VALUE!</v>
      </c>
      <c r="X17" s="77" t="e">
        <f t="shared" si="8"/>
        <v>#VALUE!</v>
      </c>
      <c r="Y17" s="77" t="e">
        <f t="shared" si="8"/>
        <v>#VALUE!</v>
      </c>
      <c r="Z17" s="77" t="e">
        <f t="shared" si="8"/>
        <v>#VALUE!</v>
      </c>
      <c r="AS17" s="128"/>
    </row>
    <row r="18" spans="1:45" ht="18" customHeight="1" thickBot="1" x14ac:dyDescent="0.25">
      <c r="A18" s="233"/>
      <c r="B18" s="88" t="s">
        <v>35</v>
      </c>
      <c r="C18" s="231"/>
      <c r="D18" s="79"/>
      <c r="E18" s="64" t="str">
        <f>IF(F18="","",1000)</f>
        <v/>
      </c>
      <c r="F18" s="81" t="str">
        <f>IF(ISNA(VLOOKUP($A16,TABFRANC!$16:$133,15,0)),"",VLOOKUP($A16,TABFRANC!$16:$133,15,0))</f>
        <v/>
      </c>
      <c r="G18" s="81" t="str">
        <f>IF(ISNA(VLOOKUP($A16,TABFRANC!$16:$133,15,0)),"",VLOOKUP($A16,TABFRANC!$16:$133,16,0))</f>
        <v/>
      </c>
      <c r="H18" s="81" t="str">
        <f>IF(ISNA(VLOOKUP($A16,TABFRANC!$16:$133,15,0)),"",VLOOKUP($A16,TABFRANC!$16:$133,17,0))</f>
        <v/>
      </c>
      <c r="I18" s="81" t="str">
        <f>IF(ISNA(VLOOKUP($A16,TABFRANC!$16:$133,15,0)),"",VLOOKUP($A16,TABFRANC!$16:$133,18,0))</f>
        <v/>
      </c>
      <c r="J18" s="89" t="str">
        <f>IF($F18="","",
((G18*2.2167*TABFRANC!$D$1+(COMPARE!F18-COMPARE!G18*2.2167)*TABFRANC!$D$2)/1000+H18*TABFRANC!$D$3/2.875)
*
IF(ISBLANK(D16),(100-COMPARE!D17),(100-COMPARE!D16))/100)</f>
        <v/>
      </c>
      <c r="K18" s="90" t="str">
        <f>IF(OR(ISBLANK(K17),F18=""),"",+K17*E18/IF(ISBLANK(E16),E17,E16))</f>
        <v/>
      </c>
      <c r="L18" s="74" t="str">
        <f t="shared" si="0"/>
        <v/>
      </c>
      <c r="M18" s="85" t="str">
        <f>IF(E18="","",IF(ISBLANK(E16),+E18/E17,E18/E16))</f>
        <v/>
      </c>
      <c r="O18" s="86"/>
      <c r="P18" s="86"/>
      <c r="Q18" s="86"/>
      <c r="R18" s="86"/>
      <c r="S18" s="86"/>
      <c r="T18" s="86"/>
      <c r="U18" s="77" t="e">
        <f t="shared" ref="U18:Z18" si="9">+U19</f>
        <v>#VALUE!</v>
      </c>
      <c r="V18" s="77" t="e">
        <f t="shared" si="9"/>
        <v>#VALUE!</v>
      </c>
      <c r="W18" s="77" t="e">
        <f t="shared" si="9"/>
        <v>#VALUE!</v>
      </c>
      <c r="X18" s="77" t="e">
        <f t="shared" si="9"/>
        <v>#VALUE!</v>
      </c>
      <c r="Y18" s="77" t="e">
        <f t="shared" si="9"/>
        <v>#VALUE!</v>
      </c>
      <c r="Z18" s="77" t="e">
        <f t="shared" si="9"/>
        <v>#VALUE!</v>
      </c>
      <c r="AS18" s="128"/>
    </row>
    <row r="19" spans="1:45" ht="18" customHeight="1" thickBot="1" x14ac:dyDescent="0.25">
      <c r="A19" s="233"/>
      <c r="B19" s="91" t="s">
        <v>17</v>
      </c>
      <c r="C19" s="232"/>
      <c r="D19" s="92"/>
      <c r="E19" s="93" t="str">
        <f>IF(F18="","",+E18*1000/F18)</f>
        <v/>
      </c>
      <c r="F19" s="94" t="str">
        <f>IF(F18="","",1000)</f>
        <v/>
      </c>
      <c r="G19" s="93" t="str">
        <f>IF($F18="","",+G18*1000/$F18)</f>
        <v/>
      </c>
      <c r="H19" s="93" t="str">
        <f>IF($F18="","",+H18*1000/$F18)</f>
        <v/>
      </c>
      <c r="I19" s="93" t="str">
        <f>IF($F18="","",+I18*1000/$F18)</f>
        <v/>
      </c>
      <c r="J19" s="96" t="str">
        <f>IF($F19="","",
((G19*2.2167*TABFRANC!$D$1+(COMPARE!F19-COMPARE!G19*2.2167)*TABFRANC!$D$2)/1000+H19*TABFRANC!$D$3/2.875)
*
IF(ISBLANK(D16),(100-COMPARE!D17),(100-COMPARE!D16))/100)</f>
        <v/>
      </c>
      <c r="K19" s="97" t="str">
        <f>IF(OR(ISBLANK(K17),F19=""),"",+K17*E19/IF(ISBLANK(E16),E17,E16))</f>
        <v/>
      </c>
      <c r="L19" s="98" t="str">
        <f t="shared" si="0"/>
        <v/>
      </c>
      <c r="M19" s="99" t="str">
        <f>IF(E19="","",IF(ISBLANK(E16),+E19/E17,E19/E16))</f>
        <v/>
      </c>
      <c r="N19" s="77" t="e">
        <f>640*H19/(F19*52)</f>
        <v>#VALUE!</v>
      </c>
      <c r="O19" s="100"/>
      <c r="P19" s="100"/>
      <c r="Q19" s="100"/>
      <c r="R19" s="100"/>
      <c r="S19" s="100"/>
      <c r="T19" s="100"/>
      <c r="U19" s="77" t="e">
        <f>ABS(+N19-N$11)</f>
        <v>#VALUE!</v>
      </c>
      <c r="V19" s="77" t="e">
        <f>ABS(+N19-N$15)</f>
        <v>#VALUE!</v>
      </c>
      <c r="W19" s="77" t="e">
        <f>ABS(+N19-N$19)</f>
        <v>#VALUE!</v>
      </c>
      <c r="X19" s="77" t="e">
        <f>ABS(+N19-N$23)</f>
        <v>#VALUE!</v>
      </c>
      <c r="Y19" s="77" t="e">
        <f>ABS(+N19-N$26)</f>
        <v>#VALUE!</v>
      </c>
      <c r="Z19" s="77" t="e">
        <f>ABS(+N19-N$29)</f>
        <v>#VALUE!</v>
      </c>
      <c r="AS19" s="128"/>
    </row>
    <row r="20" spans="1:45" ht="18" customHeight="1" thickTop="1" thickBot="1" x14ac:dyDescent="0.25">
      <c r="A20" s="233"/>
      <c r="B20" s="70" t="s">
        <v>34</v>
      </c>
      <c r="C20" s="230" t="str">
        <f>IF(ISNA(VLOOKUP(A20,TABFRANC!$A$16:$C$133,3,0)),"",VLOOKUP(A20,TABFRANC!$A$16:$C$133,3,0))</f>
        <v/>
      </c>
      <c r="D20" s="4"/>
      <c r="E20" s="1"/>
      <c r="F20" s="71" t="str">
        <f>IF(OR(ISBLANK($E20),F22=""),"",+F22*$E20/$E22)</f>
        <v/>
      </c>
      <c r="G20" s="71" t="str">
        <f>IF(OR(ISBLANK($E20),G22=""),"",+G22*$E20/$E22)</f>
        <v/>
      </c>
      <c r="H20" s="71" t="str">
        <f>IF(OR(ISBLANK($E20),H22=""),"",+H22*$E20/$E22)</f>
        <v/>
      </c>
      <c r="I20" s="71" t="str">
        <f>IF(OR(ISBLANK($E20),I22=""),"",+I22*$E20/$E22)</f>
        <v/>
      </c>
      <c r="J20" s="105" t="str">
        <f>IF($F20="","",
((G20*2.2167*TABFRANC!$D$1+(COMPARE!F20-COMPARE!G20*2.2167)*TABFRANC!$D$2)/1000+H20*TABFRANC!$D$3/2.875)
*
IF(ISBLANK(D20),(100-COMPARE!D21),(100-COMPARE!D20))/100)</f>
        <v/>
      </c>
      <c r="K20" s="106" t="str">
        <f>IF(OR(ISBLANK(K21),F20=""),"",+K21*E20/IF(ISBLANK(E20),E21,E20))</f>
        <v/>
      </c>
      <c r="L20" s="74" t="str">
        <f t="shared" si="0"/>
        <v/>
      </c>
      <c r="M20" s="75" t="str">
        <f>IF(F20="","",+M21)</f>
        <v/>
      </c>
      <c r="O20" s="76"/>
      <c r="P20" s="76"/>
      <c r="Q20" s="76"/>
      <c r="R20" s="76"/>
      <c r="S20" s="76"/>
      <c r="T20" s="76"/>
      <c r="U20" s="77" t="e">
        <f t="shared" ref="U20:Z20" si="10">+U23</f>
        <v>#VALUE!</v>
      </c>
      <c r="V20" s="77" t="e">
        <f t="shared" si="10"/>
        <v>#VALUE!</v>
      </c>
      <c r="W20" s="77" t="e">
        <f t="shared" si="10"/>
        <v>#VALUE!</v>
      </c>
      <c r="X20" s="77" t="e">
        <f t="shared" si="10"/>
        <v>#VALUE!</v>
      </c>
      <c r="Y20" s="77" t="e">
        <f t="shared" si="10"/>
        <v>#VALUE!</v>
      </c>
      <c r="Z20" s="77" t="e">
        <f t="shared" si="10"/>
        <v>#VALUE!</v>
      </c>
      <c r="AS20" s="128"/>
    </row>
    <row r="21" spans="1:45" ht="18" customHeight="1" thickTop="1" thickBot="1" x14ac:dyDescent="0.25">
      <c r="A21" s="233"/>
      <c r="B21" s="78" t="s">
        <v>34</v>
      </c>
      <c r="C21" s="231"/>
      <c r="D21" s="79" t="str">
        <f>IF(ISNA(VLOOKUP(A20,TABFRANC!$16:$133,4,0)),"",VLOOKUP(A20,TABFRANC!$16:$133,4,0))</f>
        <v/>
      </c>
      <c r="E21" s="101" t="str">
        <f>IF(ISNA(VLOOKUP($A20,TABFRANC!$16:$133,5,0)),"",VLOOKUP($A20,TABFRANC!$16:$133,5,0))</f>
        <v/>
      </c>
      <c r="F21" s="102" t="str">
        <f>IF(F22="","",+F22*$E21/1000)</f>
        <v/>
      </c>
      <c r="G21" s="102" t="str">
        <f>IF(G22="","",+G22*$E21/1000)</f>
        <v/>
      </c>
      <c r="H21" s="102" t="str">
        <f>IF(H22="","",+H22*$E21/1000)</f>
        <v/>
      </c>
      <c r="I21" s="102" t="str">
        <f>IF(I22="","",+I22*$E21/1000)</f>
        <v/>
      </c>
      <c r="J21" s="103" t="str">
        <f>IF($F21="","",
((G21*2.2167*TABFRANC!$D$1+(COMPARE!F21-(COMPARE!G21*2.2167))*TABFRANC!$D$2)/1000+(H21*TABFRANC!$D$3/2.875))
*
IF(ISBLANK(D20),(100-COMPARE!D21),(100-COMPARE!D20))/100)</f>
        <v/>
      </c>
      <c r="K21" s="6"/>
      <c r="L21" s="104" t="str">
        <f t="shared" si="0"/>
        <v/>
      </c>
      <c r="M21" s="85" t="str">
        <f>IF(E21="","",+E21/E21)</f>
        <v/>
      </c>
      <c r="O21" s="86"/>
      <c r="P21" s="86"/>
      <c r="Q21" s="86"/>
      <c r="R21" s="86"/>
      <c r="S21" s="86"/>
      <c r="T21" s="86"/>
      <c r="U21" s="77" t="e">
        <f t="shared" ref="U21:Z21" si="11">+U23</f>
        <v>#VALUE!</v>
      </c>
      <c r="V21" s="77" t="e">
        <f t="shared" si="11"/>
        <v>#VALUE!</v>
      </c>
      <c r="W21" s="77" t="e">
        <f t="shared" si="11"/>
        <v>#VALUE!</v>
      </c>
      <c r="X21" s="77" t="e">
        <f t="shared" si="11"/>
        <v>#VALUE!</v>
      </c>
      <c r="Y21" s="77" t="e">
        <f t="shared" si="11"/>
        <v>#VALUE!</v>
      </c>
      <c r="Z21" s="77" t="e">
        <f t="shared" si="11"/>
        <v>#VALUE!</v>
      </c>
      <c r="AS21" s="128"/>
    </row>
    <row r="22" spans="1:45" ht="18" customHeight="1" thickBot="1" x14ac:dyDescent="0.25">
      <c r="A22" s="233"/>
      <c r="B22" s="88" t="s">
        <v>35</v>
      </c>
      <c r="C22" s="231"/>
      <c r="D22" s="79"/>
      <c r="E22" s="64" t="str">
        <f>IF(F22="","",1000)</f>
        <v/>
      </c>
      <c r="F22" s="81" t="str">
        <f>IF(ISNA(VLOOKUP($A20,TABFRANC!$16:$133,15,0)),"",VLOOKUP($A20,TABFRANC!$16:$133,15,0))</f>
        <v/>
      </c>
      <c r="G22" s="81" t="str">
        <f>IF(ISNA(VLOOKUP($A20,TABFRANC!$16:$133,15,0)),"",VLOOKUP($A20,TABFRANC!$16:$133,16,0))</f>
        <v/>
      </c>
      <c r="H22" s="81" t="str">
        <f>IF(ISNA(VLOOKUP($A20,TABFRANC!$16:$133,15,0)),"",VLOOKUP($A20,TABFRANC!$16:$133,17,0))</f>
        <v/>
      </c>
      <c r="I22" s="81" t="str">
        <f>IF(ISNA(VLOOKUP($A20,TABFRANC!$16:$133,15,0)),"",VLOOKUP($A20,TABFRANC!$16:$133,18,0))</f>
        <v/>
      </c>
      <c r="J22" s="107" t="str">
        <f>IF($F22="","",
((G22*2.2167*TABFRANC!$D$1+(COMPARE!F22-COMPARE!G22*2.2167)*TABFRANC!$D$2)/1000+H22*TABFRANC!$D$3/2.875)
*
IF(ISBLANK(D20),(100-COMPARE!D21),(100-COMPARE!D20))/100)</f>
        <v/>
      </c>
      <c r="K22" s="108" t="str">
        <f>IF(OR(ISBLANK(K21),F22=""),"",+K21*E22/IF(ISBLANK(E20),E21,E20))</f>
        <v/>
      </c>
      <c r="L22" s="74" t="str">
        <f t="shared" si="0"/>
        <v/>
      </c>
      <c r="M22" s="85" t="str">
        <f>IF(E22="","",IF(ISBLANK(E20),+E22/E21,E22/E20))</f>
        <v/>
      </c>
      <c r="O22" s="86"/>
      <c r="P22" s="86"/>
      <c r="Q22" s="86"/>
      <c r="R22" s="86"/>
      <c r="S22" s="86"/>
      <c r="T22" s="86"/>
      <c r="U22" s="77" t="e">
        <f t="shared" ref="U22:Z22" si="12">+U23</f>
        <v>#VALUE!</v>
      </c>
      <c r="V22" s="77" t="e">
        <f t="shared" si="12"/>
        <v>#VALUE!</v>
      </c>
      <c r="W22" s="77" t="e">
        <f t="shared" si="12"/>
        <v>#VALUE!</v>
      </c>
      <c r="X22" s="77" t="e">
        <f t="shared" si="12"/>
        <v>#VALUE!</v>
      </c>
      <c r="Y22" s="77" t="e">
        <f t="shared" si="12"/>
        <v>#VALUE!</v>
      </c>
      <c r="Z22" s="77" t="e">
        <f t="shared" si="12"/>
        <v>#VALUE!</v>
      </c>
      <c r="AS22" s="128"/>
    </row>
    <row r="23" spans="1:45" ht="18" customHeight="1" thickBot="1" x14ac:dyDescent="0.25">
      <c r="A23" s="233"/>
      <c r="B23" s="91" t="s">
        <v>17</v>
      </c>
      <c r="C23" s="232"/>
      <c r="D23" s="92"/>
      <c r="E23" s="93" t="str">
        <f>IF(F22="","",+E22*1000/F22)</f>
        <v/>
      </c>
      <c r="F23" s="94" t="str">
        <f>IF(F22="","",1000)</f>
        <v/>
      </c>
      <c r="G23" s="93" t="str">
        <f>IF($F22="","",+G22*1000/$F22)</f>
        <v/>
      </c>
      <c r="H23" s="93" t="str">
        <f>IF($F22="","",+H22*1000/$F22)</f>
        <v/>
      </c>
      <c r="I23" s="93" t="str">
        <f>IF($F22="","",+I22*1000/$F22)</f>
        <v/>
      </c>
      <c r="J23" s="109" t="str">
        <f>IF($F23="","",
((G23*2.2167*TABFRANC!$D$1+(COMPARE!F23-COMPARE!G23*2.2167)*TABFRANC!$D$2)/1000+H23*TABFRANC!$D$3/2.875)
*
IF(ISBLANK(D20),(100-COMPARE!D21),(100-COMPARE!D20))/100)</f>
        <v/>
      </c>
      <c r="K23" s="110" t="str">
        <f>IF(OR(ISBLANK(K21),F23=""),"",+K21*E23/IF(ISBLANK(E20),E21,E20))</f>
        <v/>
      </c>
      <c r="L23" s="98" t="str">
        <f t="shared" si="0"/>
        <v/>
      </c>
      <c r="M23" s="99" t="str">
        <f>IF(E23="","",IF(ISBLANK(E20),+E23/E21,E23/E20))</f>
        <v/>
      </c>
      <c r="N23" s="77" t="e">
        <f>640*H23/(F23*52)</f>
        <v>#VALUE!</v>
      </c>
      <c r="O23" s="100"/>
      <c r="P23" s="100"/>
      <c r="Q23" s="100"/>
      <c r="R23" s="100"/>
      <c r="S23" s="100"/>
      <c r="T23" s="100"/>
      <c r="U23" s="77" t="e">
        <f>ABS(+N23-N$11)</f>
        <v>#VALUE!</v>
      </c>
      <c r="V23" s="77" t="e">
        <f>ABS(+N23-N$15)</f>
        <v>#VALUE!</v>
      </c>
      <c r="W23" s="77" t="e">
        <f>ABS(+N23-N$19)</f>
        <v>#VALUE!</v>
      </c>
      <c r="X23" s="77" t="e">
        <f>ABS(+N23-N$23)</f>
        <v>#VALUE!</v>
      </c>
      <c r="Y23" s="77" t="e">
        <f>ABS(+N23-N$26)</f>
        <v>#VALUE!</v>
      </c>
      <c r="Z23" s="77" t="e">
        <f>ABS(+N23-N$29)</f>
        <v>#VALUE!</v>
      </c>
      <c r="AS23" s="128"/>
    </row>
    <row r="24" spans="1:45" ht="18" customHeight="1" thickTop="1" thickBot="1" x14ac:dyDescent="0.25">
      <c r="A24" s="220" t="s">
        <v>36</v>
      </c>
      <c r="B24" s="111" t="s">
        <v>34</v>
      </c>
      <c r="C24" s="222"/>
      <c r="D24" s="225"/>
      <c r="E24" s="2"/>
      <c r="F24" s="3"/>
      <c r="G24" s="3"/>
      <c r="H24" s="3"/>
      <c r="I24" s="3"/>
      <c r="J24" s="112" t="str">
        <f>IF($F24="","",
((G24*2.2167*TABFRANC!$D$1+(COMPARE!F24-COMPARE!G24*2.2167)*TABFRANC!$D$2)/1000+H24*TABFRANC!$D$3/2.875)
*
IF(ISBLANK(D24),(100-COMPARE!D25),(100-COMPARE!D24))/100)</f>
        <v/>
      </c>
      <c r="K24" s="5"/>
      <c r="L24" s="113" t="str">
        <f t="shared" ref="L24:L29" si="13">IF(OR(F24="",K24=""),"",J24-K24)</f>
        <v/>
      </c>
      <c r="M24" s="85" t="str">
        <f>IF(E24="","",+E24/E24)</f>
        <v/>
      </c>
      <c r="O24" s="76"/>
      <c r="P24" s="76"/>
      <c r="Q24" s="76"/>
      <c r="R24" s="76"/>
      <c r="S24" s="76"/>
      <c r="T24" s="76"/>
      <c r="U24" s="77" t="e">
        <f t="shared" ref="U24:Z24" si="14">+U26</f>
        <v>#VALUE!</v>
      </c>
      <c r="V24" s="77" t="e">
        <f t="shared" si="14"/>
        <v>#VALUE!</v>
      </c>
      <c r="W24" s="77" t="e">
        <f t="shared" si="14"/>
        <v>#VALUE!</v>
      </c>
      <c r="X24" s="77" t="e">
        <f t="shared" si="14"/>
        <v>#VALUE!</v>
      </c>
      <c r="Y24" s="77" t="e">
        <f t="shared" si="14"/>
        <v>#VALUE!</v>
      </c>
      <c r="Z24" s="77" t="e">
        <f t="shared" si="14"/>
        <v>#VALUE!</v>
      </c>
      <c r="AS24" s="128"/>
    </row>
    <row r="25" spans="1:45" ht="18" customHeight="1" thickTop="1" x14ac:dyDescent="0.2">
      <c r="A25" s="220"/>
      <c r="B25" s="114" t="s">
        <v>35</v>
      </c>
      <c r="C25" s="223"/>
      <c r="D25" s="226"/>
      <c r="E25" s="115" t="str">
        <f>IF(ISBLANK(E24),"",1000)</f>
        <v/>
      </c>
      <c r="F25" s="102" t="str">
        <f>IF(OR(ISBLANK($E24),ISBLANK(F24)),"",+F24*1000/$E24)</f>
        <v/>
      </c>
      <c r="G25" s="102" t="str">
        <f>IF(OR(ISBLANK($E24),ISBLANK(G24)),"",+G24*1000/$E24)</f>
        <v/>
      </c>
      <c r="H25" s="102" t="str">
        <f>IF(OR(ISBLANK($E24),ISBLANK(H24)),"",+H24*1000/$E24)</f>
        <v/>
      </c>
      <c r="I25" s="102" t="str">
        <f>IF(OR(ISBLANK($E24),ISBLANK(I24)),"",+I24*1000/$E24)</f>
        <v/>
      </c>
      <c r="J25" s="107" t="str">
        <f>IF($F25="","",
((G25*2.2167*TABFRANC!$D$1+(COMPARE!F25-(COMPARE!G25*2.2167))*TABFRANC!$D$2)/1000+(H25*TABFRANC!$D$3/2.875))
*
IF(ISBLANK(D24),(100-COMPARE!D25),(100-COMPARE!D24))/100)</f>
        <v/>
      </c>
      <c r="K25" s="108" t="str">
        <f>IF(OR(ISBLANK(K24),F25=""),"",+K24*E25/E24)</f>
        <v/>
      </c>
      <c r="L25" s="74" t="str">
        <f t="shared" si="13"/>
        <v/>
      </c>
      <c r="M25" s="85" t="str">
        <f>IF(E25="","",+E25/E24)</f>
        <v/>
      </c>
      <c r="O25" s="86"/>
      <c r="P25" s="86"/>
      <c r="Q25" s="86"/>
      <c r="R25" s="86"/>
      <c r="S25" s="86"/>
      <c r="T25" s="86"/>
      <c r="U25" s="77" t="e">
        <f t="shared" ref="U25:Z25" si="15">+U26</f>
        <v>#VALUE!</v>
      </c>
      <c r="V25" s="77" t="e">
        <f t="shared" si="15"/>
        <v>#VALUE!</v>
      </c>
      <c r="W25" s="77" t="e">
        <f t="shared" si="15"/>
        <v>#VALUE!</v>
      </c>
      <c r="X25" s="77" t="e">
        <f t="shared" si="15"/>
        <v>#VALUE!</v>
      </c>
      <c r="Y25" s="77" t="e">
        <f t="shared" si="15"/>
        <v>#VALUE!</v>
      </c>
      <c r="Z25" s="77" t="e">
        <f t="shared" si="15"/>
        <v>#VALUE!</v>
      </c>
      <c r="AS25" s="128"/>
    </row>
    <row r="26" spans="1:45" ht="18" customHeight="1" thickBot="1" x14ac:dyDescent="0.25">
      <c r="A26" s="221"/>
      <c r="B26" s="116" t="s">
        <v>17</v>
      </c>
      <c r="C26" s="224"/>
      <c r="D26" s="227"/>
      <c r="E26" s="93" t="str">
        <f>IF(F25="","",+E25*1000/F25)</f>
        <v/>
      </c>
      <c r="F26" s="94" t="str">
        <f>IF(F25="","",1000)</f>
        <v/>
      </c>
      <c r="G26" s="93" t="str">
        <f>IF(OR($F25="",ISBLANK(G24)),"",+G25*1000/$F25)</f>
        <v/>
      </c>
      <c r="H26" s="93" t="str">
        <f>IF(OR($F25="",ISBLANK(H24)),"",+H25*1000/$F25)</f>
        <v/>
      </c>
      <c r="I26" s="93" t="str">
        <f>IF(OR($F25="",ISBLANK(I24)),"",+I25*1000/$F25)</f>
        <v/>
      </c>
      <c r="J26" s="109" t="str">
        <f>IF($F26="","",
((G26*2.2167*TABFRANC!$D$1+(COMPARE!F26-COMPARE!G26*2.2167)*TABFRANC!$D$2)/1000+H26*TABFRANC!$D$3/2.875)
*
IF(ISBLANK(D24),(100-COMPARE!D25),(100-COMPARE!D24))/100)</f>
        <v/>
      </c>
      <c r="K26" s="108" t="str">
        <f>IF(OR(ISBLANK(K24),F26=""),"",+K24*E26/E24)</f>
        <v/>
      </c>
      <c r="L26" s="98" t="str">
        <f t="shared" si="13"/>
        <v/>
      </c>
      <c r="M26" s="99" t="str">
        <f>IF(E26="","",+E26/E24)</f>
        <v/>
      </c>
      <c r="N26" s="77" t="e">
        <f>640*H26/(F26*52)</f>
        <v>#VALUE!</v>
      </c>
      <c r="O26" s="100"/>
      <c r="P26" s="100"/>
      <c r="Q26" s="100"/>
      <c r="R26" s="100"/>
      <c r="S26" s="100"/>
      <c r="T26" s="100"/>
      <c r="U26" s="77" t="e">
        <f>ABS(+N26-N$11)</f>
        <v>#VALUE!</v>
      </c>
      <c r="V26" s="77" t="e">
        <f>ABS(+N26-N$15)</f>
        <v>#VALUE!</v>
      </c>
      <c r="W26" s="77" t="e">
        <f>ABS(+N26-N$19)</f>
        <v>#VALUE!</v>
      </c>
      <c r="X26" s="77" t="e">
        <f>ABS(+N26-N$23)</f>
        <v>#VALUE!</v>
      </c>
      <c r="Y26" s="77" t="e">
        <f>ABS(+N26-N$26)</f>
        <v>#VALUE!</v>
      </c>
      <c r="Z26" s="77" t="e">
        <f>ABS(+N26-N$29)</f>
        <v>#VALUE!</v>
      </c>
      <c r="AS26" s="128"/>
    </row>
    <row r="27" spans="1:45" ht="18" customHeight="1" thickTop="1" thickBot="1" x14ac:dyDescent="0.25">
      <c r="A27" s="220" t="s">
        <v>36</v>
      </c>
      <c r="B27" s="111" t="s">
        <v>34</v>
      </c>
      <c r="C27" s="222"/>
      <c r="D27" s="225"/>
      <c r="E27" s="2"/>
      <c r="F27" s="3"/>
      <c r="G27" s="3"/>
      <c r="H27" s="3"/>
      <c r="I27" s="3"/>
      <c r="J27" s="117" t="str">
        <f>IF($F27="","",
((G27*2.2167*TABFRANC!$D$1+(COMPARE!F27-COMPARE!G27*2.2167)*TABFRANC!$D$2)/1000+H27*TABFRANC!$D$3/2.875)
*
IF(ISBLANK(D27),(100-COMPARE!D28),(100-COMPARE!D27))/100)</f>
        <v/>
      </c>
      <c r="K27" s="7"/>
      <c r="L27" s="113" t="str">
        <f t="shared" si="13"/>
        <v/>
      </c>
      <c r="M27" s="85" t="str">
        <f>IF(E27="","",+E27/E27)</f>
        <v/>
      </c>
      <c r="O27" s="76"/>
      <c r="P27" s="76"/>
      <c r="Q27" s="76"/>
      <c r="R27" s="76"/>
      <c r="S27" s="76"/>
      <c r="T27" s="76"/>
      <c r="U27" s="77" t="e">
        <f t="shared" ref="U27:Z27" si="16">+U29</f>
        <v>#VALUE!</v>
      </c>
      <c r="V27" s="77" t="e">
        <f t="shared" si="16"/>
        <v>#VALUE!</v>
      </c>
      <c r="W27" s="77" t="e">
        <f t="shared" si="16"/>
        <v>#VALUE!</v>
      </c>
      <c r="X27" s="77" t="e">
        <f t="shared" si="16"/>
        <v>#VALUE!</v>
      </c>
      <c r="Y27" s="77" t="e">
        <f t="shared" si="16"/>
        <v>#VALUE!</v>
      </c>
      <c r="Z27" s="77" t="e">
        <f t="shared" si="16"/>
        <v>#VALUE!</v>
      </c>
      <c r="AS27" s="128"/>
    </row>
    <row r="28" spans="1:45" ht="18" customHeight="1" thickTop="1" x14ac:dyDescent="0.2">
      <c r="A28" s="220"/>
      <c r="B28" s="114" t="s">
        <v>35</v>
      </c>
      <c r="C28" s="223"/>
      <c r="D28" s="226"/>
      <c r="E28" s="115" t="str">
        <f>IF(ISBLANK(E27),"",1000)</f>
        <v/>
      </c>
      <c r="F28" s="102" t="str">
        <f>IF(OR(ISBLANK($E27),ISBLANK(F27)),"",+F27*1000/$E27)</f>
        <v/>
      </c>
      <c r="G28" s="102" t="str">
        <f>IF(OR(ISBLANK($E27),ISBLANK(G27)),"",+G27*1000/$E27)</f>
        <v/>
      </c>
      <c r="H28" s="102" t="str">
        <f>IF(OR(ISBLANK($E27),ISBLANK(H27)),"",+H27*1000/$E27)</f>
        <v/>
      </c>
      <c r="I28" s="102" t="str">
        <f>IF(OR(ISBLANK($E27),ISBLANK(I27)),"",+I27*1000/$E27)</f>
        <v/>
      </c>
      <c r="J28" s="107" t="str">
        <f>IF($F28="","",
((G28*2.2167*TABFRANC!$D$1+(COMPARE!F28-(COMPARE!G28*2.2167))*TABFRANC!$D$2)/1000+(H28*TABFRANC!$D$3/2.875))
*
IF(ISBLANK(D27),(100-COMPARE!D28),(100-COMPARE!D27))/100)</f>
        <v/>
      </c>
      <c r="K28" s="108" t="str">
        <f>IF(OR(ISBLANK(K27),F28=""),"",+K27*E28/E27)</f>
        <v/>
      </c>
      <c r="L28" s="74" t="str">
        <f t="shared" si="13"/>
        <v/>
      </c>
      <c r="M28" s="85" t="str">
        <f>IF(E28="","",+E28/E27)</f>
        <v/>
      </c>
      <c r="O28" s="86"/>
      <c r="P28" s="86"/>
      <c r="Q28" s="86"/>
      <c r="R28" s="86"/>
      <c r="S28" s="86"/>
      <c r="T28" s="86"/>
      <c r="U28" s="77" t="e">
        <f t="shared" ref="U28:Z28" si="17">+U29</f>
        <v>#VALUE!</v>
      </c>
      <c r="V28" s="77" t="e">
        <f t="shared" si="17"/>
        <v>#VALUE!</v>
      </c>
      <c r="W28" s="77" t="e">
        <f t="shared" si="17"/>
        <v>#VALUE!</v>
      </c>
      <c r="X28" s="77" t="e">
        <f t="shared" si="17"/>
        <v>#VALUE!</v>
      </c>
      <c r="Y28" s="77" t="e">
        <f t="shared" si="17"/>
        <v>#VALUE!</v>
      </c>
      <c r="Z28" s="77" t="e">
        <f t="shared" si="17"/>
        <v>#VALUE!</v>
      </c>
      <c r="AS28" s="128"/>
    </row>
    <row r="29" spans="1:45" ht="18" customHeight="1" thickBot="1" x14ac:dyDescent="0.25">
      <c r="A29" s="221"/>
      <c r="B29" s="116" t="s">
        <v>17</v>
      </c>
      <c r="C29" s="224"/>
      <c r="D29" s="227"/>
      <c r="E29" s="93" t="str">
        <f>IF(F28="","",+E28*1000/F28)</f>
        <v/>
      </c>
      <c r="F29" s="94" t="str">
        <f>IF(F28="","",1000)</f>
        <v/>
      </c>
      <c r="G29" s="93" t="str">
        <f>IF(OR($F28="",ISBLANK(G27)),"",+G28*1000/$F28)</f>
        <v/>
      </c>
      <c r="H29" s="93" t="str">
        <f>IF(OR($F28="",ISBLANK(H27)),"",+H28*1000/$F28)</f>
        <v/>
      </c>
      <c r="I29" s="93" t="str">
        <f>IF(OR($F28="",ISBLANK(I27)),"",+I28*1000/$F28)</f>
        <v/>
      </c>
      <c r="J29" s="109" t="str">
        <f>IF($F29="","",
((G29*2.2167*TABFRANC!$D$1+(COMPARE!F29-COMPARE!G29*2.2167)*TABFRANC!$D$2)/1000+H29*TABFRANC!$D$3/2.875)
*
IF(ISBLANK(D27),(100-COMPARE!D28),(100-COMPARE!D27))/100)</f>
        <v/>
      </c>
      <c r="K29" s="118" t="str">
        <f>IF(OR(ISBLANK(K27),F29=""),"",+K27*E29/E27)</f>
        <v/>
      </c>
      <c r="L29" s="98" t="str">
        <f t="shared" si="13"/>
        <v/>
      </c>
      <c r="M29" s="99" t="str">
        <f>IF(E29="","",+E29/E27)</f>
        <v/>
      </c>
      <c r="N29" s="77" t="e">
        <f>640*H29/(F29*52)</f>
        <v>#VALUE!</v>
      </c>
      <c r="O29" s="100"/>
      <c r="P29" s="100"/>
      <c r="Q29" s="100"/>
      <c r="R29" s="100"/>
      <c r="S29" s="100"/>
      <c r="T29" s="100"/>
      <c r="U29" s="77" t="e">
        <f>ABS(+N29-N$11)</f>
        <v>#VALUE!</v>
      </c>
      <c r="V29" s="77" t="e">
        <f>ABS(+N29-N$15)</f>
        <v>#VALUE!</v>
      </c>
      <c r="W29" s="77" t="e">
        <f>ABS(+N29-N$19)</f>
        <v>#VALUE!</v>
      </c>
      <c r="X29" s="77" t="e">
        <f>ABS(+N29-N$23)</f>
        <v>#VALUE!</v>
      </c>
      <c r="Y29" s="77" t="e">
        <f>ABS(+N29-N$26)</f>
        <v>#VALUE!</v>
      </c>
      <c r="Z29" s="77" t="e">
        <f>ABS(+N29-N$29)</f>
        <v>#VALUE!</v>
      </c>
      <c r="AS29" s="128"/>
    </row>
    <row r="30" spans="1:45" x14ac:dyDescent="0.2">
      <c r="A30" s="129"/>
      <c r="B30" s="129"/>
      <c r="C30" s="130"/>
      <c r="D30" s="129"/>
      <c r="E30" s="129"/>
      <c r="F30" s="129"/>
      <c r="G30" s="129"/>
      <c r="H30" s="129"/>
      <c r="I30" s="129"/>
      <c r="J30" s="129"/>
      <c r="K30" s="129"/>
      <c r="L30" s="129"/>
      <c r="M30" s="129"/>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row>
    <row r="31" spans="1:45" x14ac:dyDescent="0.2">
      <c r="A31" s="129"/>
      <c r="B31" s="129"/>
      <c r="C31" s="130"/>
      <c r="D31" s="129"/>
      <c r="E31" s="129"/>
      <c r="F31" s="129"/>
      <c r="G31" s="129"/>
      <c r="H31" s="129"/>
      <c r="I31" s="129"/>
      <c r="J31" s="129"/>
      <c r="K31" s="129"/>
      <c r="L31" s="129"/>
      <c r="M31" s="129"/>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row>
    <row r="32" spans="1:45" x14ac:dyDescent="0.2">
      <c r="A32" s="129"/>
      <c r="B32" s="129"/>
      <c r="C32" s="130"/>
      <c r="D32" s="129"/>
      <c r="E32" s="128"/>
      <c r="F32" s="128"/>
      <c r="G32" s="128"/>
      <c r="H32" s="128"/>
      <c r="I32" s="128"/>
      <c r="J32" s="128"/>
      <c r="K32" s="129"/>
      <c r="L32" s="129"/>
      <c r="M32" s="129"/>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row>
    <row r="33" spans="1:45" x14ac:dyDescent="0.2">
      <c r="A33" s="129"/>
      <c r="B33" s="129"/>
      <c r="C33" s="130"/>
      <c r="D33" s="129"/>
      <c r="E33" s="128"/>
      <c r="F33" s="128"/>
      <c r="G33" s="128"/>
      <c r="H33" s="128"/>
      <c r="I33" s="128"/>
      <c r="J33" s="128"/>
      <c r="K33" s="129"/>
      <c r="L33" s="129"/>
      <c r="M33" s="129"/>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row>
    <row r="34" spans="1:45" x14ac:dyDescent="0.2">
      <c r="A34" s="129"/>
      <c r="B34" s="129"/>
      <c r="C34" s="130"/>
      <c r="D34" s="129"/>
      <c r="E34" s="128"/>
      <c r="F34" s="128"/>
      <c r="G34" s="128"/>
      <c r="H34" s="128"/>
      <c r="I34" s="128"/>
      <c r="J34" s="128"/>
      <c r="K34" s="129"/>
      <c r="L34" s="129"/>
      <c r="M34" s="129"/>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row>
    <row r="35" spans="1:45" x14ac:dyDescent="0.2">
      <c r="A35" s="129"/>
      <c r="B35" s="129"/>
      <c r="C35" s="130"/>
      <c r="D35" s="129"/>
      <c r="E35" s="128"/>
      <c r="F35" s="128"/>
      <c r="G35" s="128"/>
      <c r="H35" s="128"/>
      <c r="I35" s="128"/>
      <c r="J35" s="128"/>
      <c r="K35" s="129"/>
      <c r="L35" s="129"/>
      <c r="M35" s="129"/>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row>
    <row r="36" spans="1:45" x14ac:dyDescent="0.2">
      <c r="A36" s="129"/>
      <c r="B36" s="129"/>
      <c r="C36" s="130"/>
      <c r="D36" s="129"/>
      <c r="E36" s="129"/>
      <c r="F36" s="129"/>
      <c r="G36" s="129"/>
      <c r="H36" s="129"/>
      <c r="I36" s="129"/>
      <c r="J36" s="129"/>
      <c r="K36" s="129"/>
      <c r="L36" s="129"/>
      <c r="M36" s="129"/>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row>
    <row r="37" spans="1:45" x14ac:dyDescent="0.2">
      <c r="A37" s="129"/>
      <c r="B37" s="129"/>
      <c r="C37" s="130"/>
      <c r="D37" s="129"/>
      <c r="E37" s="129"/>
      <c r="F37" s="129"/>
      <c r="G37" s="129"/>
      <c r="H37" s="129"/>
      <c r="I37" s="129"/>
      <c r="J37" s="129"/>
      <c r="K37" s="129"/>
      <c r="L37" s="129"/>
      <c r="M37" s="129"/>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row>
  </sheetData>
  <sheetProtection password="CA9B" sheet="1"/>
  <customSheetViews>
    <customSheetView guid="{E9FF8B49-108B-4234-BFD2-33615CC78B8B}" showRuler="0">
      <selection activeCell="K17" activeCellId="16" sqref="A1:M2 B3:C18 F3:J18 L3:M18 E4:E6 E8:E10 E12:E14 D4:D6 D8:D10 D12:D14 K3 K5:K7 K9:K11 K13:K14 D16:E18 K15 K17:K18"/>
      <pageMargins left="0.78740157499999996" right="0.78740157499999996" top="0.984251969" bottom="0.984251969" header="0.4921259845" footer="0.4921259845"/>
      <pageSetup paperSize="9" orientation="portrait" r:id="rId1"/>
      <headerFooter alignWithMargins="0"/>
    </customSheetView>
  </customSheetViews>
  <mergeCells count="32">
    <mergeCell ref="D1:L4"/>
    <mergeCell ref="Q2:T2"/>
    <mergeCell ref="Q3:T3"/>
    <mergeCell ref="M2:P2"/>
    <mergeCell ref="M3:P3"/>
    <mergeCell ref="D5:L5"/>
    <mergeCell ref="N6:N7"/>
    <mergeCell ref="O6:T6"/>
    <mergeCell ref="B6:B7"/>
    <mergeCell ref="E6:E7"/>
    <mergeCell ref="J6:J7"/>
    <mergeCell ref="F6:I6"/>
    <mergeCell ref="M6:M7"/>
    <mergeCell ref="K6:K7"/>
    <mergeCell ref="L6:L7"/>
    <mergeCell ref="C6:C7"/>
    <mergeCell ref="A27:A29"/>
    <mergeCell ref="C27:C29"/>
    <mergeCell ref="D27:D29"/>
    <mergeCell ref="A6:A7"/>
    <mergeCell ref="A24:A26"/>
    <mergeCell ref="C24:C26"/>
    <mergeCell ref="C20:C23"/>
    <mergeCell ref="A20:A23"/>
    <mergeCell ref="D24:D26"/>
    <mergeCell ref="D6:D7"/>
    <mergeCell ref="A16:A19"/>
    <mergeCell ref="C16:C19"/>
    <mergeCell ref="A8:A11"/>
    <mergeCell ref="C8:C11"/>
    <mergeCell ref="C12:C15"/>
    <mergeCell ref="A12:A15"/>
  </mergeCells>
  <phoneticPr fontId="0" type="noConversion"/>
  <conditionalFormatting sqref="L11 L15 L19 L23 L26 L29">
    <cfRule type="cellIs" dxfId="5" priority="7" stopIfTrue="1" operator="greaterThan">
      <formula>0</formula>
    </cfRule>
    <cfRule type="cellIs" dxfId="4" priority="8" stopIfTrue="1" operator="lessThanOrEqual">
      <formula>0</formula>
    </cfRule>
  </conditionalFormatting>
  <conditionalFormatting sqref="O8:T29">
    <cfRule type="expression" dxfId="3" priority="9" stopIfTrue="1">
      <formula>AND(U8&gt;0,U8&lt;$AB$8)</formula>
    </cfRule>
    <cfRule type="expression" dxfId="2" priority="10" stopIfTrue="1">
      <formula>AND(U8&gt;0,U8&gt;$AB$8)</formula>
    </cfRule>
  </conditionalFormatting>
  <conditionalFormatting sqref="D1">
    <cfRule type="cellIs" dxfId="1" priority="1" stopIfTrue="1" operator="equal">
      <formula>$BM$11</formula>
    </cfRule>
    <cfRule type="cellIs" dxfId="0" priority="2" stopIfTrue="1" operator="equal">
      <formula>$BM$10</formula>
    </cfRule>
  </conditionalFormatting>
  <pageMargins left="0.78740157499999996" right="0.78740157499999996" top="0.984251969" bottom="0.984251969" header="0.4921259845" footer="0.4921259845"/>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vt:lpstr>
      <vt:lpstr>TABFRANC</vt:lpstr>
      <vt:lpstr>COMPARE</vt: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APEDB de Liège</dc:creator>
  <cp:lastModifiedBy>Edouard Reding</cp:lastModifiedBy>
  <cp:lastPrinted>2002-09-24T08:21:56Z</cp:lastPrinted>
  <dcterms:created xsi:type="dcterms:W3CDTF">2000-08-30T10:07:16Z</dcterms:created>
  <dcterms:modified xsi:type="dcterms:W3CDTF">2022-11-21T08:44:52Z</dcterms:modified>
</cp:coreProperties>
</file>